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5"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三公”经费支出决算表" sheetId="7" r:id="rId7"/>
    <sheet name="GK08 政府性基金预算财政拨款收入支出决算表" sheetId="8" r:id="rId8"/>
    <sheet name="GK09 国有资产占用情况表" sheetId="9" r:id="rId9"/>
  </sheets>
  <definedNames/>
  <calcPr fullCalcOnLoad="1"/>
</workbook>
</file>

<file path=xl/sharedStrings.xml><?xml version="1.0" encoding="utf-8"?>
<sst xmlns="http://schemas.openxmlformats.org/spreadsheetml/2006/main" count="1312" uniqueCount="460">
  <si>
    <t>收入支出决算总表</t>
  </si>
  <si>
    <t>金额单位：万元</t>
  </si>
  <si>
    <t>编制单位：赣州市退役军人事务局</t>
  </si>
  <si>
    <t>2019年度</t>
  </si>
  <si>
    <r>
      <t>公开</t>
    </r>
    <r>
      <rPr>
        <sz val="11"/>
        <rFont val="Arial"/>
        <family val="2"/>
      </rPr>
      <t>01</t>
    </r>
    <r>
      <rPr>
        <sz val="11"/>
        <rFont val="宋体"/>
        <family val="0"/>
      </rPr>
      <t>表</t>
    </r>
  </si>
  <si>
    <t>收     入</t>
  </si>
  <si>
    <t>支     出</t>
  </si>
  <si>
    <t>项    目</t>
  </si>
  <si>
    <t>行次</t>
  </si>
  <si>
    <t>决算数</t>
  </si>
  <si>
    <t>项目（按功能分类）</t>
  </si>
  <si>
    <t>栏    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</si>
  <si>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</si>
  <si>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</si>
  <si>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</si>
  <si>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</si>
  <si>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</si>
  <si>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</si>
  <si>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</si>
  <si>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</si>
  <si>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</si>
  <si>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</si>
  <si>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</si>
  <si>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</si>
  <si>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</si>
  <si>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</si>
  <si>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</si>
  <si>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</si>
  <si>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</si>
  <si>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</si>
  <si>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</si>
  <si>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</si>
  <si>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</si>
  <si>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</si>
  <si>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</si>
  <si>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</si>
  <si>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</si>
  <si>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</si>
  <si>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</si>
  <si>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</si>
  <si>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</si>
  <si>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</si>
  <si>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</si>
  <si>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</si>
  <si>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</si>
  <si>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</si>
  <si>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</si>
  <si>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</si>
  <si>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</si>
  <si>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</si>
  <si>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</si>
  <si>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</si>
  <si>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</si>
  <si>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</si>
  <si>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</si>
  <si>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</si>
  <si>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</si>
  <si>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</si>
  <si>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</si>
  <si>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</si>
  <si>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</si>
  <si>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</si>
  <si>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</si>
  <si>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</si>
  <si>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</si>
  <si>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</si>
  <si>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</si>
  <si>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</si>
  <si>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</si>
  <si>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</si>
  <si>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</si>
  <si>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</si>
  <si>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</si>
  <si>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</si>
  <si>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</si>
  <si>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</si>
  <si>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</si>
  <si>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</si>
  <si>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</si>
  <si>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</si>
  <si>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</si>
  <si>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</si>
  <si>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</si>
  <si>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</si>
  <si>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</si>
  <si>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</si>
  <si>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</si>
  <si>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</si>
  <si>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</si>
  <si>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</si>
  <si>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</si>
  <si>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</si>
  <si>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</si>
  <si>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</si>
  <si>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</si>
  <si>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</si>
  <si>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56</t>
  </si>
  <si>
    <t xml:space="preserve">  用事业基金弥补收支差额</t>
  </si>
  <si>
    <t>27</t>
  </si>
  <si>
    <t xml:space="preserve">  结余分配                 </t>
  </si>
  <si>
    <t>57</t>
  </si>
  <si>
    <t xml:space="preserve">  年初结转和结余</t>
  </si>
  <si>
    <t>28</t>
  </si>
  <si>
    <t xml:space="preserve">  年末结转和结余                                </t>
  </si>
  <si>
    <t>58</t>
  </si>
  <si>
    <t>29</t>
  </si>
  <si>
    <t xml:space="preserve">                             </t>
  </si>
  <si>
    <t>59</t>
  </si>
  <si>
    <t>总计</t>
  </si>
  <si>
    <t>30</t>
  </si>
  <si>
    <t>60</t>
  </si>
  <si>
    <t>注：本表反映部门本年度的总收支和年末结转结余情况。</t>
  </si>
  <si>
    <t>收入决算表</t>
  </si>
  <si>
    <r>
      <t>公开</t>
    </r>
    <r>
      <rPr>
        <sz val="11"/>
        <rFont val="Arial"/>
        <family val="2"/>
      </rPr>
      <t>02</t>
    </r>
    <r>
      <rPr>
        <sz val="11"/>
        <rFont val="宋体"/>
        <family val="0"/>
      </rPr>
      <t>表</t>
    </r>
  </si>
  <si>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</si>
  <si>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</si>
  <si>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</si>
  <si>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</si>
  <si>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</si>
  <si>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</si>
  <si>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</si>
  <si>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</si>
  <si>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</si>
  <si>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</si>
  <si>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</si>
  <si>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</si>
  <si>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</si>
  <si>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栏次</t>
  </si>
  <si>
    <t>合计</t>
  </si>
  <si>
    <t>208</t>
  </si>
  <si>
    <t>社会保障和就业支出</t>
  </si>
  <si>
    <t>20802</t>
  </si>
  <si>
    <t>民政管理事务</t>
  </si>
  <si>
    <t>2080201</t>
  </si>
  <si>
    <t xml:space="preserve">  行政运行</t>
  </si>
  <si>
    <t>20805</t>
  </si>
  <si>
    <t>行政事业单位离退休</t>
  </si>
  <si>
    <t>2080501</t>
  </si>
  <si>
    <t xml:space="preserve">  归口管理的行政单位离退休</t>
  </si>
  <si>
    <t>2080505</t>
  </si>
  <si>
    <t xml:space="preserve">  机关事业单位基本养老保险缴费支出</t>
  </si>
  <si>
    <t>20808</t>
  </si>
  <si>
    <t>抚恤</t>
  </si>
  <si>
    <t>2080801</t>
  </si>
  <si>
    <t xml:space="preserve">  死亡抚恤</t>
  </si>
  <si>
    <t>2080804</t>
  </si>
  <si>
    <t xml:space="preserve">  优抚事业单位支出</t>
  </si>
  <si>
    <t>2080899</t>
  </si>
  <si>
    <t xml:space="preserve">  其他优抚支出</t>
  </si>
  <si>
    <t>20809</t>
  </si>
  <si>
    <t>退役安置</t>
  </si>
  <si>
    <t>2080903</t>
  </si>
  <si>
    <t xml:space="preserve">  军队移交政府离退休干部管理机构</t>
  </si>
  <si>
    <t>2080905</t>
  </si>
  <si>
    <t xml:space="preserve">  军队转业干部安置</t>
  </si>
  <si>
    <t>2080999</t>
  </si>
  <si>
    <t xml:space="preserve">  其他退役安置支出</t>
  </si>
  <si>
    <t>20810</t>
  </si>
  <si>
    <t>社会福利</t>
  </si>
  <si>
    <t>2081005</t>
  </si>
  <si>
    <t xml:space="preserve">  社会福利事业单位</t>
  </si>
  <si>
    <t>20828</t>
  </si>
  <si>
    <t>退役军人管理事务</t>
  </si>
  <si>
    <t>2082801</t>
  </si>
  <si>
    <t>2082802</t>
  </si>
  <si>
    <t xml:space="preserve">  一般行政管理事务</t>
  </si>
  <si>
    <t>2082804</t>
  </si>
  <si>
    <t xml:space="preserve">  拥军优属</t>
  </si>
  <si>
    <t>2082805</t>
  </si>
  <si>
    <t xml:space="preserve">  部队供应</t>
  </si>
  <si>
    <t>2082850</t>
  </si>
  <si>
    <t xml:space="preserve">  事业运行</t>
  </si>
  <si>
    <t>2082899</t>
  </si>
  <si>
    <t xml:space="preserve">  其他退役军人事务管理支出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</si>
  <si>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</si>
  <si>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</si>
  <si>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</si>
  <si>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</si>
  <si>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</si>
  <si>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</si>
  <si>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</si>
  <si>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</si>
  <si>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</si>
  <si>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</si>
  <si>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</si>
  <si>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</si>
  <si>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</si>
  <si>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</si>
  <si>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21013</t>
  </si>
  <si>
    <t>医疗救助</t>
  </si>
  <si>
    <t>2101399</t>
  </si>
  <si>
    <t xml:space="preserve">  其他医疗救助支出</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</si>
  <si>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</si>
  <si>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</si>
  <si>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</si>
  <si>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</si>
  <si>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</si>
  <si>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</si>
  <si>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</si>
  <si>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</si>
  <si>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</si>
  <si>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</si>
  <si>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</si>
  <si>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</si>
  <si>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注：本表反映部门本年度取得的各项收入情况。</t>
  </si>
  <si>
    <t>支出决算表</t>
  </si>
  <si>
    <t>公开03表</t>
  </si>
  <si>
    <t>基本支出</t>
  </si>
  <si>
    <t>项目支出</t>
  </si>
  <si>
    <t>上缴上级支出</t>
  </si>
  <si>
    <t>经营支出</t>
  </si>
  <si>
    <t>对附属单位补助支出</t>
  </si>
  <si>
    <t>2080299</t>
  </si>
  <si>
    <t xml:space="preserve">  其他民政管理事务支出</t>
  </si>
  <si>
    <t>2080506</t>
  </si>
  <si>
    <t xml:space="preserve">  机关事业单位职业年金缴费支出</t>
  </si>
  <si>
    <t>2080902</t>
  </si>
  <si>
    <t xml:space="preserve">  军队移交政府的离退休人员安置</t>
  </si>
  <si>
    <t>注：本表反映部门本年度各项支出情况。</t>
  </si>
  <si>
    <t>财政拨款收入支出决算总表</t>
  </si>
  <si>
    <t>公开04表</t>
  </si>
  <si>
    <t>一般公共预算财政拨款</t>
  </si>
  <si>
    <t>政府性基金预算财政拨款</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</si>
  <si>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</si>
  <si>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</si>
  <si>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</si>
  <si>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</si>
  <si>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注：本表反映部门本年度一般公共预算财政拨款和政府性基金预算财政拨款的总收支和年末结转结余情况。</t>
  </si>
  <si>
    <t>一般公共预算财政拨款支出决算表</t>
  </si>
  <si>
    <t>编制单位：赣州市退役军人事务局     2019年度</t>
  </si>
  <si>
    <t>公开05表</t>
  </si>
  <si>
    <t>注：本表反映部门本年度一般公共预算财政拨款支出情况。</t>
  </si>
  <si>
    <t>一般公共预算财政拨款基本支出决算表</t>
  </si>
  <si>
    <t>公开06表</t>
  </si>
  <si>
    <t>人员经费</t>
  </si>
  <si>
    <t>公用经费</t>
  </si>
  <si>
    <t>经济分类科目编码</t>
  </si>
  <si>
    <t>金额</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</si>
  <si>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</si>
  <si>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</si>
  <si>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</si>
  <si>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</si>
  <si>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</si>
  <si>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</si>
  <si>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</si>
  <si>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</si>
  <si>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</si>
  <si>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</si>
  <si>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</si>
  <si>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</si>
  <si>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</si>
  <si>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</si>
  <si>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</si>
  <si>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</si>
  <si>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</si>
  <si>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</si>
  <si>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</si>
  <si>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</si>
  <si>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</si>
  <si>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</si>
  <si>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</si>
  <si>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</si>
  <si>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</si>
  <si>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</si>
  <si>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</si>
  <si>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</si>
  <si>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</si>
  <si>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</si>
  <si>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</si>
  <si>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</si>
  <si>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</si>
  <si>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</si>
  <si>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</si>
  <si>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</si>
  <si>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</si>
  <si>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</si>
  <si>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</si>
  <si>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</si>
  <si>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</si>
  <si>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</si>
  <si>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</si>
  <si>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</si>
  <si>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</si>
  <si>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</si>
  <si>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</si>
  <si>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</si>
  <si>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</si>
  <si>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</si>
  <si>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</si>
  <si>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</si>
  <si>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</si>
  <si>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</si>
  <si>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</si>
  <si>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</si>
  <si>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</si>
  <si>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</si>
  <si>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</si>
  <si>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</si>
  <si>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</si>
  <si>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</si>
  <si>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</si>
  <si>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</si>
  <si>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</si>
  <si>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</si>
  <si>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</si>
  <si>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</si>
  <si>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</si>
  <si>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</si>
  <si>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</si>
  <si>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</si>
  <si>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</si>
  <si>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</si>
  <si>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</si>
  <si>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</si>
  <si>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</si>
  <si>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</si>
  <si>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</si>
  <si>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</si>
  <si>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</si>
  <si>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</si>
  <si>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</si>
  <si>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</si>
  <si>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</si>
  <si>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</si>
  <si>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</si>
  <si>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</si>
  <si>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</si>
  <si>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</si>
  <si>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</si>
  <si>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</si>
  <si>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</si>
  <si>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</si>
  <si>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</si>
  <si>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</si>
  <si>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</si>
  <si>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</si>
  <si>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</si>
  <si>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</si>
  <si>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</si>
  <si>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</si>
  <si>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</si>
  <si>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</si>
  <si>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</si>
  <si>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</si>
  <si>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</si>
  <si>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</si>
  <si>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</si>
  <si>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</si>
  <si>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</si>
  <si>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</si>
  <si>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</si>
  <si>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</si>
  <si>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</si>
  <si>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</si>
  <si>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</si>
  <si>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</si>
  <si>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</si>
  <si>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</si>
  <si>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</si>
  <si>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</si>
  <si>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</si>
  <si>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</si>
  <si>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</si>
  <si>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</si>
  <si>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</si>
  <si>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</si>
  <si>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</si>
  <si>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</si>
  <si>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</si>
  <si>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</si>
  <si>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</si>
  <si>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</si>
  <si>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</si>
  <si>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</si>
  <si>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</si>
  <si>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</si>
  <si>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</si>
  <si>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</si>
  <si>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</si>
  <si>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</si>
  <si>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</si>
  <si>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</si>
  <si>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</si>
  <si>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</si>
  <si>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</si>
  <si>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</si>
  <si>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</si>
  <si>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30399</t>
  </si>
  <si>
    <t xml:space="preserve">  其他对个人和家庭的补助支出</t>
  </si>
  <si>
    <t>30239</t>
  </si>
  <si>
    <t xml:space="preserve">  其他交通费用</t>
  </si>
  <si>
    <t>31204</t>
  </si>
  <si>
    <t xml:space="preserve">  费用补贴</t>
  </si>
  <si>
    <t>30240</t>
  </si>
  <si>
    <t xml:space="preserve">  税金及附加费用</t>
  </si>
  <si>
    <t>31205</t>
  </si>
  <si>
    <t xml:space="preserve">  利息补贴</t>
  </si>
  <si>
    <t>30299</t>
  </si>
  <si>
    <t xml:space="preserve">  其他商品和服务支出</t>
  </si>
  <si>
    <t>31299</t>
  </si>
  <si>
    <t xml:space="preserve">  其他对企业补助</t>
  </si>
  <si>
    <t>399</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</si>
  <si>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</si>
  <si>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</si>
  <si>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</si>
  <si>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</si>
  <si>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</si>
  <si>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</si>
  <si>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</si>
  <si>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</si>
  <si>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</si>
  <si>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公用支出合计</t>
  </si>
  <si>
    <t>注：本表反映部门本年度一般公共预算财政拨款基本支出明细情况。</t>
  </si>
  <si>
    <t>一般公共预算财政拨款“三公”经费支出决算表</t>
  </si>
  <si>
    <t>公开07表</t>
  </si>
  <si>
    <t>项目</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</si>
  <si>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</si>
  <si>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</si>
  <si>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</si>
  <si>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</si>
  <si>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</si>
  <si>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</si>
  <si>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</si>
  <si>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</si>
  <si>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</si>
  <si>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</si>
  <si>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</si>
  <si>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</si>
  <si>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</si>
  <si>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</si>
  <si>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</si>
  <si>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</si>
  <si>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</si>
  <si>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</si>
  <si>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</si>
  <si>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</si>
  <si>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</si>
  <si>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</si>
  <si>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</si>
  <si>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</si>
  <si>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</si>
  <si>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</si>
  <si>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</si>
  <si>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</si>
  <si>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</si>
  <si>
    <t>国有资产占用情况表</t>
  </si>
  <si>
    <t>单位：台、辆、套</t>
  </si>
  <si>
    <t>公开09表</t>
  </si>
  <si>
    <t>项  目</t>
  </si>
  <si>
    <t>一、车辆数合计(台、辆)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</si>
  <si>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</si>
  <si>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</si>
  <si>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</si>
  <si>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</si>
  <si>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</si>
  <si>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</si>
  <si>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</si>
  <si>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</si>
  <si>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二、单价50万元（含）以上通用设备（台，套）</t>
  </si>
  <si>
    <t>三、单价100万元（含）以上专用设备（台，套）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</si>
</sst>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s>
  <fonts count="47">
    <font>
      <sz val="10"/>
      <name val="Arial"/>
      <family val="2"/>
    </font>
    <font>
      <sz val="11"/>
      <name val="宋体"/>
      <family val="0"/>
    </font>
    <font>
      <sz val="22"/>
      <name val="黑体"/>
      <family val="3"/>
    </font>
    <font>
      <sz val="8"/>
      <name val="Tahoma"/>
      <family val="0"/>
    </font>
    <font>
      <sz val="9"/>
      <name val="宋体"/>
      <family val="0"/>
    </font>
    <font>
      <sz val="10"/>
      <name val="宋体"/>
      <family val="0"/>
    </font>
    <font>
      <b/>
      <sz val="10"/>
      <name val="宋体"/>
      <family val="0"/>
    </font>
    <font>
      <sz val="11"/>
      <color indexed="8"/>
      <name val="宋体"/>
      <family val="0"/>
    </font>
    <font>
      <u val="single"/>
      <sz val="11"/>
      <color indexed="20"/>
      <name val="宋体"/>
      <family val="0"/>
    </font>
    <font>
      <sz val="11"/>
      <color indexed="9"/>
      <name val="宋体"/>
      <family val="0"/>
    </font>
    <font>
      <b/>
      <sz val="18"/>
      <color indexed="54"/>
      <name val="宋体"/>
      <family val="0"/>
    </font>
    <font>
      <i/>
      <sz val="11"/>
      <color indexed="23"/>
      <name val="宋体"/>
      <family val="0"/>
    </font>
    <font>
      <b/>
      <sz val="11"/>
      <color indexed="54"/>
      <name val="宋体"/>
      <family val="0"/>
    </font>
    <font>
      <sz val="11"/>
      <color indexed="16"/>
      <name val="宋体"/>
      <family val="0"/>
    </font>
    <font>
      <b/>
      <sz val="11"/>
      <color indexed="8"/>
      <name val="宋体"/>
      <family val="0"/>
    </font>
    <font>
      <u val="single"/>
      <sz val="11"/>
      <color indexed="12"/>
      <name val="宋体"/>
      <family val="0"/>
    </font>
    <font>
      <b/>
      <sz val="15"/>
      <color indexed="54"/>
      <name val="宋体"/>
      <family val="0"/>
    </font>
    <font>
      <b/>
      <sz val="13"/>
      <color indexed="54"/>
      <name val="宋体"/>
      <family val="0"/>
    </font>
    <font>
      <sz val="11"/>
      <color indexed="53"/>
      <name val="宋体"/>
      <family val="0"/>
    </font>
    <font>
      <sz val="11"/>
      <color indexed="19"/>
      <name val="宋体"/>
      <family val="0"/>
    </font>
    <font>
      <sz val="11"/>
      <color indexed="10"/>
      <name val="宋体"/>
      <family val="0"/>
    </font>
    <font>
      <b/>
      <sz val="11"/>
      <color indexed="63"/>
      <name val="宋体"/>
      <family val="0"/>
    </font>
    <font>
      <b/>
      <sz val="11"/>
      <color indexed="9"/>
      <name val="宋体"/>
      <family val="0"/>
    </font>
    <font>
      <sz val="11"/>
      <color indexed="17"/>
      <name val="宋体"/>
      <family val="0"/>
    </font>
    <font>
      <b/>
      <sz val="11"/>
      <color indexed="53"/>
      <name val="宋体"/>
      <family val="0"/>
    </font>
    <font>
      <sz val="11"/>
      <color indexed="62"/>
      <name val="宋体"/>
      <family val="0"/>
    </font>
    <font>
      <sz val="11"/>
      <name val="Arial"/>
      <family val="2"/>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9"/>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color indexed="8"/>
      </left>
      <right style="thin">
        <color indexed="23"/>
      </right>
      <top>
        <color indexed="8"/>
      </top>
      <bottom>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top>
        <color indexed="8"/>
      </top>
      <bottom style="thin">
        <color indexed="8"/>
      </bottom>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28" fillId="7" borderId="0" applyNumberFormat="0" applyBorder="0" applyAlignment="0" applyProtection="0"/>
    <xf numFmtId="177" fontId="0" fillId="0" borderId="0" applyFont="0" applyFill="0" applyBorder="0" applyAlignment="0" applyProtection="0"/>
    <xf numFmtId="0" fontId="28" fillId="8" borderId="0" applyNumberFormat="0" applyBorder="0" applyAlignment="0" applyProtection="0"/>
    <xf numFmtId="0" fontId="35" fillId="0" borderId="0" applyNumberFormat="0" applyFill="0" applyBorder="0" applyAlignment="0" applyProtection="0"/>
    <xf numFmtId="0" fontId="27" fillId="9"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28" fillId="10"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8" fillId="13" borderId="0" applyNumberFormat="0" applyBorder="0" applyAlignment="0" applyProtection="0"/>
    <xf numFmtId="0" fontId="40" fillId="0" borderId="6" applyNumberFormat="0" applyFill="0" applyAlignment="0" applyProtection="0"/>
    <xf numFmtId="0" fontId="36" fillId="0" borderId="0" applyNumberFormat="0" applyFill="0" applyBorder="0" applyAlignment="0" applyProtection="0"/>
    <xf numFmtId="0" fontId="28" fillId="14" borderId="0" applyNumberFormat="0" applyBorder="0" applyAlignment="0" applyProtection="0"/>
    <xf numFmtId="179" fontId="0" fillId="0" borderId="0" applyFont="0" applyFill="0" applyBorder="0" applyAlignment="0" applyProtection="0"/>
    <xf numFmtId="0" fontId="41" fillId="0" borderId="0" applyNumberFormat="0" applyFill="0" applyBorder="0" applyAlignment="0" applyProtection="0"/>
    <xf numFmtId="0" fontId="28" fillId="15" borderId="0" applyNumberFormat="0" applyBorder="0" applyAlignment="0" applyProtection="0"/>
    <xf numFmtId="0" fontId="42" fillId="16" borderId="7" applyNumberFormat="0" applyFont="0" applyAlignment="0" applyProtection="0"/>
    <xf numFmtId="0" fontId="27" fillId="17" borderId="0" applyNumberFormat="0" applyBorder="0" applyAlignment="0" applyProtection="0"/>
    <xf numFmtId="0" fontId="43" fillId="18" borderId="0" applyNumberFormat="0" applyBorder="0" applyAlignment="0" applyProtection="0"/>
    <xf numFmtId="0" fontId="28" fillId="19" borderId="0" applyNumberFormat="0" applyBorder="0" applyAlignment="0" applyProtection="0"/>
    <xf numFmtId="0" fontId="44" fillId="20" borderId="0" applyNumberFormat="0" applyBorder="0" applyAlignment="0" applyProtection="0"/>
    <xf numFmtId="0" fontId="45" fillId="4" borderId="8"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178" fontId="0" fillId="0" borderId="0" applyFont="0" applyFill="0" applyBorder="0" applyAlignment="0" applyProtection="0"/>
    <xf numFmtId="0" fontId="27" fillId="27" borderId="0" applyNumberFormat="0" applyBorder="0" applyAlignment="0" applyProtection="0"/>
    <xf numFmtId="0" fontId="28" fillId="28" borderId="0" applyNumberFormat="0" applyBorder="0" applyAlignment="0" applyProtection="0"/>
    <xf numFmtId="0" fontId="46" fillId="29" borderId="8" applyNumberFormat="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93">
    <xf numFmtId="0" fontId="0" fillId="0" borderId="0" xfId="0" applyAlignment="1">
      <alignment/>
    </xf>
    <xf numFmtId="0" fontId="2" fillId="33" borderId="0" xfId="0" applyFont="1" applyFill="1" applyBorder="1" applyAlignment="1">
      <alignment horizontal="center" vertical="center"/>
    </xf>
    <xf numFmtId="0" fontId="2"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 fillId="33" borderId="0" xfId="0" applyFont="1" applyFill="1" applyBorder="1" applyAlignment="1">
      <alignment horizontal="right" vertical="center"/>
    </xf>
    <xf numFmtId="0" fontId="1" fillId="33" borderId="0" xfId="0" applyFont="1" applyFill="1" applyBorder="1" applyAlignment="1">
      <alignment horizontal="left" vertical="center"/>
    </xf>
    <xf numFmtId="0" fontId="1" fillId="33" borderId="0" xfId="0" applyFont="1" applyFill="1" applyBorder="1" applyAlignment="1">
      <alignment horizontal="center" vertical="center"/>
    </xf>
    <xf numFmtId="0" fontId="5" fillId="0" borderId="9" xfId="0" applyFont="1" applyFill="1" applyBorder="1" applyAlignment="1">
      <alignment horizontal="left" vertical="center"/>
    </xf>
    <xf numFmtId="0" fontId="5" fillId="0" borderId="9" xfId="0" applyFont="1" applyFill="1" applyBorder="1" applyAlignment="1">
      <alignment horizontal="center" vertical="center"/>
    </xf>
    <xf numFmtId="3" fontId="5" fillId="0" borderId="9" xfId="0" applyNumberFormat="1" applyFont="1" applyFill="1" applyBorder="1" applyAlignment="1">
      <alignment horizontal="right" vertical="center" shrinkToFit="1"/>
    </xf>
    <xf numFmtId="0" fontId="1" fillId="33" borderId="0" xfId="0" applyFont="1" applyFill="1" applyBorder="1" applyAlignment="1">
      <alignment horizontal="left" vertical="center"/>
    </xf>
    <xf numFmtId="0" fontId="2" fillId="33" borderId="0" xfId="0" applyFont="1" applyFill="1" applyAlignment="1">
      <alignment horizontal="center" vertical="center"/>
    </xf>
    <xf numFmtId="0" fontId="1"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4" fillId="0" borderId="9" xfId="0" applyFont="1" applyFill="1" applyBorder="1" applyAlignment="1">
      <alignment horizontal="left" vertical="center" shrinkToFit="1"/>
    </xf>
    <xf numFmtId="0" fontId="5" fillId="33" borderId="0" xfId="0" applyFont="1" applyFill="1" applyBorder="1" applyAlignment="1">
      <alignment horizontal="left" vertical="center" shrinkToFit="1"/>
    </xf>
    <xf numFmtId="0" fontId="5" fillId="0" borderId="0" xfId="0" applyFont="1" applyBorder="1" applyAlignment="1">
      <alignment horizontal="left" vertical="center" shrinkToFit="1"/>
    </xf>
    <xf numFmtId="0" fontId="1" fillId="0" borderId="0" xfId="0" applyFont="1" applyFill="1" applyBorder="1" applyAlignment="1">
      <alignment horizontal="center" vertical="center"/>
    </xf>
    <xf numFmtId="4" fontId="5" fillId="0" borderId="9" xfId="0" applyNumberFormat="1" applyFont="1" applyFill="1" applyBorder="1" applyAlignment="1">
      <alignment horizontal="right" vertical="center" shrinkToFit="1"/>
    </xf>
    <xf numFmtId="0" fontId="3" fillId="33" borderId="0" xfId="0" applyFont="1" applyFill="1" applyBorder="1" applyAlignment="1">
      <alignment horizontal="left" vertical="center"/>
    </xf>
    <xf numFmtId="0" fontId="1" fillId="0" borderId="0" xfId="0" applyFont="1" applyFill="1" applyBorder="1" applyAlignment="1">
      <alignment horizontal="right" vertical="center"/>
    </xf>
    <xf numFmtId="0" fontId="4" fillId="33" borderId="0" xfId="0" applyFont="1" applyFill="1" applyBorder="1" applyAlignment="1">
      <alignment horizontal="left" vertical="center"/>
    </xf>
    <xf numFmtId="0" fontId="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6" fillId="0" borderId="9" xfId="0" applyFont="1" applyFill="1" applyBorder="1" applyAlignment="1">
      <alignment horizontal="left" vertical="center"/>
    </xf>
    <xf numFmtId="0" fontId="6"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right" vertical="center"/>
    </xf>
    <xf numFmtId="0" fontId="5" fillId="33" borderId="0" xfId="0" applyFont="1" applyFill="1" applyBorder="1" applyAlignment="1">
      <alignment horizontal="left" vertical="center"/>
    </xf>
    <xf numFmtId="0" fontId="5" fillId="0" borderId="0" xfId="0" applyFont="1" applyBorder="1" applyAlignment="1">
      <alignment horizontal="left" vertical="center"/>
    </xf>
    <xf numFmtId="0" fontId="2" fillId="33" borderId="0"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10" xfId="0" applyFont="1" applyFill="1" applyBorder="1" applyAlignment="1">
      <alignment horizontal="right" vertical="center"/>
    </xf>
    <xf numFmtId="0" fontId="1" fillId="33" borderId="0" xfId="0" applyFont="1" applyFill="1" applyBorder="1" applyAlignment="1">
      <alignment vertical="center"/>
    </xf>
    <xf numFmtId="0" fontId="4" fillId="33" borderId="0" xfId="0" applyFont="1" applyFill="1" applyBorder="1" applyAlignment="1">
      <alignment vertical="center"/>
    </xf>
    <xf numFmtId="0" fontId="2" fillId="33" borderId="0" xfId="0" applyFont="1" applyFill="1" applyBorder="1" applyAlignment="1">
      <alignment vertical="center"/>
    </xf>
    <xf numFmtId="0" fontId="1" fillId="33" borderId="0" xfId="0" applyFont="1" applyFill="1" applyBorder="1" applyAlignment="1">
      <alignment horizontal="left" vertical="center" wrapText="1"/>
    </xf>
    <xf numFmtId="0" fontId="1" fillId="33" borderId="0" xfId="0" applyFont="1" applyFill="1" applyBorder="1" applyAlignment="1">
      <alignment horizontal="left" vertical="center"/>
    </xf>
    <xf numFmtId="0" fontId="5" fillId="0" borderId="9" xfId="0" applyFont="1" applyFill="1" applyBorder="1" applyAlignment="1">
      <alignment horizontal="center" vertical="center"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4" fillId="33" borderId="0" xfId="0" applyFont="1" applyFill="1" applyBorder="1" applyAlignment="1">
      <alignment horizontal="left" vertical="center"/>
    </xf>
    <xf numFmtId="0" fontId="1" fillId="33" borderId="0" xfId="0" applyFont="1" applyFill="1" applyBorder="1" applyAlignment="1">
      <alignment horizontal="right" vertical="center"/>
    </xf>
    <xf numFmtId="4" fontId="5" fillId="0" borderId="12" xfId="0" applyNumberFormat="1" applyFont="1" applyFill="1" applyBorder="1" applyAlignment="1">
      <alignment horizontal="right" vertical="center" shrinkToFit="1"/>
    </xf>
    <xf numFmtId="4" fontId="5" fillId="0" borderId="14" xfId="0" applyNumberFormat="1" applyFont="1" applyFill="1" applyBorder="1" applyAlignment="1">
      <alignment horizontal="right" vertical="center" shrinkToFit="1"/>
    </xf>
    <xf numFmtId="0" fontId="1"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13" xfId="0" applyFont="1" applyFill="1" applyBorder="1" applyAlignment="1">
      <alignment horizontal="left" vertical="center"/>
    </xf>
    <xf numFmtId="0" fontId="5" fillId="0" borderId="14" xfId="0" applyFont="1" applyFill="1" applyBorder="1" applyAlignment="1">
      <alignment horizontal="center" vertical="center"/>
    </xf>
    <xf numFmtId="0" fontId="5" fillId="0" borderId="14" xfId="0" applyFont="1" applyFill="1" applyBorder="1" applyAlignment="1">
      <alignment horizontal="left" vertical="center"/>
    </xf>
    <xf numFmtId="0" fontId="6" fillId="0" borderId="9" xfId="0" applyFont="1" applyFill="1" applyBorder="1" applyAlignment="1">
      <alignment horizontal="center" vertical="center"/>
    </xf>
    <xf numFmtId="0" fontId="5" fillId="33" borderId="0" xfId="0" applyFont="1" applyFill="1" applyBorder="1" applyAlignment="1">
      <alignment horizontal="left" vertical="center"/>
    </xf>
    <xf numFmtId="0" fontId="5" fillId="0" borderId="0" xfId="0" applyFont="1" applyBorder="1" applyAlignment="1">
      <alignment horizontal="left" vertical="center"/>
    </xf>
    <xf numFmtId="0" fontId="4" fillId="33" borderId="0" xfId="0" applyFont="1" applyFill="1" applyBorder="1" applyAlignment="1">
      <alignment horizontal="left" vertical="center"/>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5" fillId="0" borderId="12"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left" vertical="center"/>
    </xf>
    <xf numFmtId="0" fontId="4" fillId="0" borderId="10" xfId="0" applyFont="1" applyBorder="1" applyAlignment="1">
      <alignment horizontal="left" vertical="center"/>
    </xf>
    <xf numFmtId="0" fontId="5" fillId="33" borderId="0" xfId="0" applyFont="1" applyFill="1" applyBorder="1" applyAlignment="1">
      <alignment horizontal="left" vertical="center" shrinkToFit="1"/>
    </xf>
    <xf numFmtId="0" fontId="5" fillId="0" borderId="0" xfId="0" applyFont="1" applyBorder="1" applyAlignment="1">
      <alignment horizontal="left" vertical="center" shrinkToFit="1"/>
    </xf>
    <xf numFmtId="0" fontId="4" fillId="0" borderId="12" xfId="0" applyFont="1" applyFill="1" applyBorder="1" applyAlignment="1">
      <alignment horizontal="left" vertical="center" shrinkToFit="1"/>
    </xf>
    <xf numFmtId="0" fontId="1" fillId="0" borderId="0" xfId="0" applyFont="1" applyAlignment="1">
      <alignment horizontal="right"/>
    </xf>
    <xf numFmtId="0" fontId="5" fillId="0" borderId="9" xfId="0" applyFont="1" applyFill="1" applyBorder="1" applyAlignment="1">
      <alignment horizontal="center" vertical="center" shrinkToFit="1"/>
    </xf>
    <xf numFmtId="180" fontId="5" fillId="0" borderId="9" xfId="0" applyNumberFormat="1" applyFont="1" applyFill="1" applyBorder="1" applyAlignment="1">
      <alignment horizontal="right" vertical="center" shrinkToFit="1"/>
    </xf>
    <xf numFmtId="180" fontId="5" fillId="0" borderId="9" xfId="0" applyNumberFormat="1" applyFont="1" applyFill="1" applyBorder="1" applyAlignment="1">
      <alignment horizontal="left" vertical="center"/>
    </xf>
    <xf numFmtId="180" fontId="5" fillId="0" borderId="12" xfId="0" applyNumberFormat="1" applyFont="1" applyFill="1" applyBorder="1" applyAlignment="1">
      <alignment horizontal="left" vertical="center"/>
    </xf>
    <xf numFmtId="180" fontId="5" fillId="0" borderId="12" xfId="0" applyNumberFormat="1" applyFont="1" applyFill="1" applyBorder="1" applyAlignment="1">
      <alignment horizontal="right" vertical="center" shrinkToFit="1"/>
    </xf>
    <xf numFmtId="180" fontId="5" fillId="0" borderId="14" xfId="0" applyNumberFormat="1" applyFont="1" applyFill="1" applyBorder="1" applyAlignment="1">
      <alignment horizontal="left" vertical="center"/>
    </xf>
    <xf numFmtId="0" fontId="5" fillId="33" borderId="0" xfId="0" applyFont="1" applyFill="1" applyBorder="1" applyAlignment="1">
      <alignment horizontal="left" vertical="center"/>
    </xf>
    <xf numFmtId="0" fontId="5" fillId="0" borderId="0" xfId="0" applyFont="1" applyBorder="1" applyAlignment="1">
      <alignment horizontal="left"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
      <selection activeCell="L12" sqref="L12"/>
    </sheetView>
  </sheetViews>
  <sheetFormatPr defaultColWidth="9.140625" defaultRowHeight="12.75"/>
  <cols>
    <col min="1" max="1" width="35.57421875" style="0" customWidth="1"/>
    <col min="2" max="2" width="5.140625" style="0" customWidth="1"/>
    <col min="3" max="3" width="17.140625" style="0" customWidth="1"/>
    <col min="4" max="4" width="35.57421875" style="0" customWidth="1"/>
    <col min="5" max="5" width="5.140625" style="0" customWidth="1"/>
    <col min="6" max="6" width="17.140625" style="0" customWidth="1"/>
  </cols>
  <sheetData>
    <row r="1" spans="1:6" ht="27.75" customHeight="1">
      <c r="A1" s="11"/>
      <c r="B1" s="28"/>
      <c r="C1" s="37" t="s">
        <v>0</v>
      </c>
      <c r="D1" s="28"/>
      <c r="E1" s="28"/>
      <c r="F1" s="28"/>
    </row>
    <row r="2" spans="1:6" ht="15" customHeight="1">
      <c r="A2" s="3"/>
      <c r="B2" s="4"/>
      <c r="C2" s="4"/>
      <c r="D2" s="4"/>
      <c r="E2" s="4"/>
      <c r="F2" s="5" t="s">
        <v>1</v>
      </c>
    </row>
    <row r="3" spans="1:6" ht="15" customHeight="1">
      <c r="A3" s="29" t="s">
        <v>2</v>
      </c>
      <c r="B3" s="30"/>
      <c r="C3" s="38" t="s">
        <v>3</v>
      </c>
      <c r="D3" s="30"/>
      <c r="E3" s="30"/>
      <c r="F3" s="5" t="s">
        <v>4</v>
      </c>
    </row>
    <row r="4" spans="1:6" ht="15" customHeight="1">
      <c r="A4" s="9" t="s">
        <v>5</v>
      </c>
      <c r="B4" s="16" t="s">
        <v>5</v>
      </c>
      <c r="C4" s="16" t="s">
        <v>5</v>
      </c>
      <c r="D4" s="9" t="s">
        <v>6</v>
      </c>
      <c r="E4" s="16" t="s">
        <v>6</v>
      </c>
      <c r="F4" s="16" t="s">
        <v>6</v>
      </c>
    </row>
    <row r="5" spans="1:6" ht="15" customHeight="1">
      <c r="A5" s="9" t="s">
        <v>7</v>
      </c>
      <c r="B5" s="9" t="s">
        <v>8</v>
      </c>
      <c r="C5" s="9" t="s">
        <v>9</v>
      </c>
      <c r="D5" s="9" t="s">
        <v>10</v>
      </c>
      <c r="E5" s="9" t="s">
        <v>8</v>
      </c>
      <c r="F5" s="9" t="s">
        <v>9</v>
      </c>
    </row>
    <row r="6" spans="1:6" ht="15" customHeight="1">
      <c r="A6" s="9" t="s">
        <v>11</v>
      </c>
      <c r="B6" s="9"/>
      <c r="C6" s="9" t="s">
        <v>12</v>
      </c>
      <c r="D6" s="9" t="s">
        <v>11</v>
      </c>
      <c r="E6" s="9"/>
      <c r="F6" s="9" t="s">
        <v>13</v>
      </c>
    </row>
    <row r="7" spans="1:6" ht="15" customHeight="1">
      <c r="A7" s="8" t="s">
        <v>14</v>
      </c>
      <c r="B7" s="9" t="s">
        <v>15</v>
      </c>
      <c r="C7" s="86">
        <f>37412000.55/10000</f>
        <v>3741.200055</v>
      </c>
      <c r="D7" s="8" t="s">
        <v>16</v>
      </c>
      <c r="E7" s="9" t="s">
        <v>17</v>
      </c>
      <c r="F7" s="25">
        <v>0</v>
      </c>
    </row>
    <row r="8" spans="1:6" ht="15" customHeight="1">
      <c r="A8" s="8" t="s">
        <v>18</v>
      </c>
      <c r="B8" s="9" t="s">
        <v>19</v>
      </c>
      <c r="C8" s="86">
        <f>800000/10000</f>
        <v>80</v>
      </c>
      <c r="D8" s="8" t="s">
        <v>20</v>
      </c>
      <c r="E8" s="9" t="s">
        <v>21</v>
      </c>
      <c r="F8" s="25">
        <v>0</v>
      </c>
    </row>
    <row r="9" spans="1:6" ht="15" customHeight="1">
      <c r="A9" s="8" t="s">
        <v>22</v>
      </c>
      <c r="B9" s="9" t="s">
        <v>12</v>
      </c>
      <c r="C9" s="86">
        <v>0</v>
      </c>
      <c r="D9" s="8" t="s">
        <v>23</v>
      </c>
      <c r="E9" s="9" t="s">
        <v>24</v>
      </c>
      <c r="F9" s="25">
        <v>0</v>
      </c>
    </row>
    <row r="10" spans="1:6" ht="15" customHeight="1">
      <c r="A10" s="8" t="s">
        <v>25</v>
      </c>
      <c r="B10" s="9" t="s">
        <v>26</v>
      </c>
      <c r="C10" s="86">
        <v>0</v>
      </c>
      <c r="D10" s="8" t="s">
        <v>27</v>
      </c>
      <c r="E10" s="9" t="s">
        <v>28</v>
      </c>
      <c r="F10" s="25">
        <v>0</v>
      </c>
    </row>
    <row r="11" spans="1:6" ht="15" customHeight="1">
      <c r="A11" s="8" t="s">
        <v>29</v>
      </c>
      <c r="B11" s="9" t="s">
        <v>30</v>
      </c>
      <c r="C11" s="86">
        <v>0</v>
      </c>
      <c r="D11" s="8" t="s">
        <v>31</v>
      </c>
      <c r="E11" s="9" t="s">
        <v>32</v>
      </c>
      <c r="F11" s="25">
        <v>0</v>
      </c>
    </row>
    <row r="12" spans="1:6" ht="15" customHeight="1">
      <c r="A12" s="8" t="s">
        <v>33</v>
      </c>
      <c r="B12" s="9" t="s">
        <v>13</v>
      </c>
      <c r="C12" s="86">
        <v>0</v>
      </c>
      <c r="D12" s="8" t="s">
        <v>34</v>
      </c>
      <c r="E12" s="9" t="s">
        <v>35</v>
      </c>
      <c r="F12" s="25">
        <v>0</v>
      </c>
    </row>
    <row r="13" spans="1:6" ht="15" customHeight="1">
      <c r="A13" s="8" t="s">
        <v>36</v>
      </c>
      <c r="B13" s="9" t="s">
        <v>37</v>
      </c>
      <c r="C13" s="86">
        <f>31270.19/10000</f>
        <v>3.1270189999999998</v>
      </c>
      <c r="D13" s="8" t="s">
        <v>38</v>
      </c>
      <c r="E13" s="9" t="s">
        <v>39</v>
      </c>
      <c r="F13" s="25">
        <v>0</v>
      </c>
    </row>
    <row r="14" spans="1:6" ht="15" customHeight="1">
      <c r="A14" s="8"/>
      <c r="B14" s="9" t="s">
        <v>40</v>
      </c>
      <c r="C14" s="87"/>
      <c r="D14" s="8" t="s">
        <v>41</v>
      </c>
      <c r="E14" s="9" t="s">
        <v>42</v>
      </c>
      <c r="F14" s="25">
        <f>31475549.66/10000</f>
        <v>3147.554966</v>
      </c>
    </row>
    <row r="15" spans="1:6" ht="15" customHeight="1">
      <c r="A15" s="8"/>
      <c r="B15" s="9" t="s">
        <v>43</v>
      </c>
      <c r="C15" s="87"/>
      <c r="D15" s="8" t="s">
        <v>44</v>
      </c>
      <c r="E15" s="9" t="s">
        <v>45</v>
      </c>
      <c r="F15" s="25">
        <f>1052262.76/10000</f>
        <v>105.226276</v>
      </c>
    </row>
    <row r="16" spans="1:6" ht="15" customHeight="1">
      <c r="A16" s="8"/>
      <c r="B16" s="9" t="s">
        <v>46</v>
      </c>
      <c r="C16" s="87"/>
      <c r="D16" s="8" t="s">
        <v>47</v>
      </c>
      <c r="E16" s="9" t="s">
        <v>48</v>
      </c>
      <c r="F16" s="25">
        <v>0</v>
      </c>
    </row>
    <row r="17" spans="1:6" ht="15" customHeight="1">
      <c r="A17" s="8"/>
      <c r="B17" s="9" t="s">
        <v>49</v>
      </c>
      <c r="C17" s="87"/>
      <c r="D17" s="8" t="s">
        <v>50</v>
      </c>
      <c r="E17" s="9" t="s">
        <v>51</v>
      </c>
      <c r="F17" s="25">
        <v>0</v>
      </c>
    </row>
    <row r="18" spans="1:6" ht="15" customHeight="1">
      <c r="A18" s="8"/>
      <c r="B18" s="9" t="s">
        <v>52</v>
      </c>
      <c r="C18" s="87"/>
      <c r="D18" s="8" t="s">
        <v>53</v>
      </c>
      <c r="E18" s="9" t="s">
        <v>54</v>
      </c>
      <c r="F18" s="25">
        <v>0</v>
      </c>
    </row>
    <row r="19" spans="1:6" ht="15" customHeight="1">
      <c r="A19" s="63"/>
      <c r="B19" s="61" t="s">
        <v>55</v>
      </c>
      <c r="C19" s="88"/>
      <c r="D19" s="64" t="s">
        <v>56</v>
      </c>
      <c r="E19" s="61" t="s">
        <v>57</v>
      </c>
      <c r="F19" s="54">
        <v>0</v>
      </c>
    </row>
    <row r="20" spans="1:6" ht="15" customHeight="1">
      <c r="A20" s="63"/>
      <c r="B20" s="61" t="s">
        <v>58</v>
      </c>
      <c r="C20" s="88"/>
      <c r="D20" s="64" t="s">
        <v>59</v>
      </c>
      <c r="E20" s="61" t="s">
        <v>60</v>
      </c>
      <c r="F20" s="54">
        <v>0</v>
      </c>
    </row>
    <row r="21" spans="1:6" ht="15" customHeight="1">
      <c r="A21" s="63"/>
      <c r="B21" s="61" t="s">
        <v>61</v>
      </c>
      <c r="C21" s="88"/>
      <c r="D21" s="64" t="s">
        <v>62</v>
      </c>
      <c r="E21" s="61" t="s">
        <v>63</v>
      </c>
      <c r="F21" s="54">
        <v>0</v>
      </c>
    </row>
    <row r="22" spans="1:6" ht="15" customHeight="1">
      <c r="A22" s="63"/>
      <c r="B22" s="61" t="s">
        <v>64</v>
      </c>
      <c r="C22" s="88"/>
      <c r="D22" s="64" t="s">
        <v>65</v>
      </c>
      <c r="E22" s="61" t="s">
        <v>66</v>
      </c>
      <c r="F22" s="54">
        <v>0</v>
      </c>
    </row>
    <row r="23" spans="1:6" ht="15" customHeight="1">
      <c r="A23" s="63"/>
      <c r="B23" s="61" t="s">
        <v>67</v>
      </c>
      <c r="C23" s="88"/>
      <c r="D23" s="64" t="s">
        <v>68</v>
      </c>
      <c r="E23" s="61" t="s">
        <v>69</v>
      </c>
      <c r="F23" s="54">
        <v>0</v>
      </c>
    </row>
    <row r="24" spans="1:6" ht="15" customHeight="1">
      <c r="A24" s="63"/>
      <c r="B24" s="61" t="s">
        <v>70</v>
      </c>
      <c r="C24" s="88"/>
      <c r="D24" s="64" t="s">
        <v>71</v>
      </c>
      <c r="E24" s="61" t="s">
        <v>72</v>
      </c>
      <c r="F24" s="54">
        <v>0</v>
      </c>
    </row>
    <row r="25" spans="1:6" ht="15" customHeight="1">
      <c r="A25" s="63"/>
      <c r="B25" s="61" t="s">
        <v>73</v>
      </c>
      <c r="C25" s="88"/>
      <c r="D25" s="64" t="s">
        <v>74</v>
      </c>
      <c r="E25" s="61" t="s">
        <v>75</v>
      </c>
      <c r="F25" s="54">
        <f>278558.28/10000</f>
        <v>27.855828000000002</v>
      </c>
    </row>
    <row r="26" spans="1:6" ht="15" customHeight="1">
      <c r="A26" s="63"/>
      <c r="B26" s="61" t="s">
        <v>76</v>
      </c>
      <c r="C26" s="88"/>
      <c r="D26" s="64" t="s">
        <v>77</v>
      </c>
      <c r="E26" s="61" t="s">
        <v>78</v>
      </c>
      <c r="F26" s="54">
        <v>0</v>
      </c>
    </row>
    <row r="27" spans="1:6" ht="15" customHeight="1">
      <c r="A27" s="63"/>
      <c r="B27" s="61" t="s">
        <v>79</v>
      </c>
      <c r="C27" s="88"/>
      <c r="D27" s="64" t="s">
        <v>80</v>
      </c>
      <c r="E27" s="61" t="s">
        <v>81</v>
      </c>
      <c r="F27" s="54">
        <v>0</v>
      </c>
    </row>
    <row r="28" spans="1:6" ht="15" customHeight="1">
      <c r="A28" s="63"/>
      <c r="B28" s="61" t="s">
        <v>82</v>
      </c>
      <c r="C28" s="88"/>
      <c r="D28" s="64" t="s">
        <v>83</v>
      </c>
      <c r="E28" s="61" t="s">
        <v>84</v>
      </c>
      <c r="F28" s="54">
        <f>502608.01/10000</f>
        <v>50.260801</v>
      </c>
    </row>
    <row r="29" spans="1:6" ht="15" customHeight="1">
      <c r="A29" s="63"/>
      <c r="B29" s="61" t="s">
        <v>85</v>
      </c>
      <c r="C29" s="88"/>
      <c r="D29" s="64" t="s">
        <v>86</v>
      </c>
      <c r="E29" s="61" t="s">
        <v>87</v>
      </c>
      <c r="F29" s="54">
        <v>0</v>
      </c>
    </row>
    <row r="30" spans="1:6" ht="15" customHeight="1">
      <c r="A30" s="63"/>
      <c r="B30" s="61" t="s">
        <v>88</v>
      </c>
      <c r="C30" s="88"/>
      <c r="D30" s="64" t="s">
        <v>89</v>
      </c>
      <c r="E30" s="61" t="s">
        <v>90</v>
      </c>
      <c r="F30" s="54">
        <v>0</v>
      </c>
    </row>
    <row r="31" spans="1:6" ht="15" customHeight="1">
      <c r="A31" s="63"/>
      <c r="B31" s="61" t="s">
        <v>91</v>
      </c>
      <c r="C31" s="88"/>
      <c r="D31" s="64"/>
      <c r="E31" s="61" t="s">
        <v>92</v>
      </c>
      <c r="F31" s="64"/>
    </row>
    <row r="32" spans="1:6" ht="15" customHeight="1">
      <c r="A32" s="65" t="s">
        <v>93</v>
      </c>
      <c r="B32" s="61" t="s">
        <v>94</v>
      </c>
      <c r="C32" s="89">
        <f>38243270.74/10000</f>
        <v>3824.3270740000003</v>
      </c>
      <c r="D32" s="66" t="s">
        <v>95</v>
      </c>
      <c r="E32" s="61" t="s">
        <v>96</v>
      </c>
      <c r="F32" s="54">
        <f>33308978.71/10000</f>
        <v>3330.897871</v>
      </c>
    </row>
    <row r="33" spans="1:6" ht="15" customHeight="1">
      <c r="A33" s="63" t="s">
        <v>97</v>
      </c>
      <c r="B33" s="61" t="s">
        <v>98</v>
      </c>
      <c r="C33" s="89">
        <v>0</v>
      </c>
      <c r="D33" s="64" t="s">
        <v>99</v>
      </c>
      <c r="E33" s="61" t="s">
        <v>100</v>
      </c>
      <c r="F33" s="54">
        <v>0</v>
      </c>
    </row>
    <row r="34" spans="1:6" ht="15" customHeight="1">
      <c r="A34" s="63" t="s">
        <v>101</v>
      </c>
      <c r="B34" s="61" t="s">
        <v>102</v>
      </c>
      <c r="C34" s="89">
        <f>16967873.34/10000</f>
        <v>1696.7873339999999</v>
      </c>
      <c r="D34" s="64" t="s">
        <v>103</v>
      </c>
      <c r="E34" s="61" t="s">
        <v>104</v>
      </c>
      <c r="F34" s="54">
        <f>21902165.37/10000</f>
        <v>2190.2165370000002</v>
      </c>
    </row>
    <row r="35" spans="1:6" ht="15" customHeight="1">
      <c r="A35" s="67"/>
      <c r="B35" s="68" t="s">
        <v>105</v>
      </c>
      <c r="C35" s="90"/>
      <c r="D35" s="69" t="s">
        <v>106</v>
      </c>
      <c r="E35" s="68" t="s">
        <v>107</v>
      </c>
      <c r="F35" s="69"/>
    </row>
    <row r="36" spans="1:6" ht="15" customHeight="1">
      <c r="A36" s="70" t="s">
        <v>108</v>
      </c>
      <c r="B36" s="9" t="s">
        <v>109</v>
      </c>
      <c r="C36" s="86">
        <f>55211144.08/10000</f>
        <v>5521.1144079999995</v>
      </c>
      <c r="D36" s="70" t="s">
        <v>108</v>
      </c>
      <c r="E36" s="9" t="s">
        <v>110</v>
      </c>
      <c r="F36" s="25">
        <f>55211144.08/10000</f>
        <v>5521.1144079999995</v>
      </c>
    </row>
    <row r="37" spans="1:6" ht="15" customHeight="1">
      <c r="A37" s="91" t="s">
        <v>111</v>
      </c>
      <c r="B37" s="92" t="s">
        <v>111</v>
      </c>
      <c r="C37" s="92" t="s">
        <v>111</v>
      </c>
      <c r="D37" s="92" t="s">
        <v>111</v>
      </c>
      <c r="E37" s="92" t="s">
        <v>111</v>
      </c>
      <c r="F37" s="92" t="s">
        <v>111</v>
      </c>
    </row>
  </sheetData>
  <sheetProtection/>
  <mergeCells count="3">
    <mergeCell ref="A4:C4"/>
    <mergeCell ref="D4:F4"/>
    <mergeCell ref="A37:F37"/>
  </mergeCells>
  <printOptions/>
  <pageMargins left="1.6534722222222222" right="1.5743055555555556" top="1" bottom="1" header="0.5" footer="0.5"/>
  <pageSetup fitToHeight="1" fitToWidth="1" horizontalDpi="300" verticalDpi="300" orientation="landscape" scale="85"/>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8"/>
  <sheetViews>
    <sheetView workbookViewId="0" topLeftCell="A1">
      <selection activeCell="A3" sqref="A3"/>
    </sheetView>
  </sheetViews>
  <sheetFormatPr defaultColWidth="9.140625" defaultRowHeight="12.75"/>
  <cols>
    <col min="1" max="3" width="4.421875" style="0" customWidth="1"/>
    <col min="4" max="4" width="32.8515625" style="0" customWidth="1"/>
    <col min="5" max="12" width="17.140625" style="0" customWidth="1"/>
  </cols>
  <sheetData>
    <row r="1" spans="1:12" ht="27.75" customHeight="1">
      <c r="A1" s="12" t="s">
        <v>112</v>
      </c>
      <c r="B1" s="12"/>
      <c r="C1" s="12"/>
      <c r="D1" s="12"/>
      <c r="E1" s="12"/>
      <c r="F1" s="12"/>
      <c r="G1" s="12"/>
      <c r="H1" s="12"/>
      <c r="I1" s="12"/>
      <c r="J1" s="12"/>
      <c r="K1" s="12"/>
      <c r="L1" s="12"/>
    </row>
    <row r="2" spans="1:12" ht="15" customHeight="1">
      <c r="A2" s="3"/>
      <c r="B2" s="4"/>
      <c r="C2" s="4"/>
      <c r="D2" s="4"/>
      <c r="E2" s="4"/>
      <c r="F2" s="4"/>
      <c r="G2" s="4"/>
      <c r="H2" s="4"/>
      <c r="I2" s="4"/>
      <c r="J2" s="4"/>
      <c r="K2" s="4"/>
      <c r="L2" s="5" t="s">
        <v>1</v>
      </c>
    </row>
    <row r="3" spans="1:12" ht="15" customHeight="1">
      <c r="A3" s="29" t="s">
        <v>2</v>
      </c>
      <c r="B3" s="30"/>
      <c r="C3" s="30"/>
      <c r="D3" s="30"/>
      <c r="E3" s="30"/>
      <c r="F3" s="38" t="s">
        <v>3</v>
      </c>
      <c r="G3" s="30"/>
      <c r="H3" s="30"/>
      <c r="I3" s="30"/>
      <c r="J3" s="30"/>
      <c r="K3" s="30"/>
      <c r="L3" s="84" t="s">
        <v>113</v>
      </c>
    </row>
    <row r="4" spans="1:12" ht="15" customHeight="1">
      <c r="A4" s="9" t="s">
        <v>7</v>
      </c>
      <c r="B4" s="16" t="s">
        <v>7</v>
      </c>
      <c r="C4" s="16" t="s">
        <v>7</v>
      </c>
      <c r="D4" s="16" t="s">
        <v>7</v>
      </c>
      <c r="E4" s="9" t="s">
        <v>93</v>
      </c>
      <c r="F4" s="9" t="s">
        <v>114</v>
      </c>
      <c r="G4" s="9" t="s">
        <v>115</v>
      </c>
      <c r="H4" s="9" t="s">
        <v>116</v>
      </c>
      <c r="I4" s="16" t="s">
        <v>116</v>
      </c>
      <c r="J4" s="9" t="s">
        <v>117</v>
      </c>
      <c r="K4" s="45" t="s">
        <v>118</v>
      </c>
      <c r="L4" s="9" t="s">
        <v>119</v>
      </c>
    </row>
    <row r="5" spans="1:12" ht="15" customHeight="1">
      <c r="A5" s="17" t="s">
        <v>120</v>
      </c>
      <c r="B5" s="18" t="s">
        <v>120</v>
      </c>
      <c r="C5" s="18" t="s">
        <v>120</v>
      </c>
      <c r="D5" s="9" t="s">
        <v>121</v>
      </c>
      <c r="E5" s="16" t="s">
        <v>93</v>
      </c>
      <c r="F5" s="16" t="s">
        <v>114</v>
      </c>
      <c r="G5" s="16" t="s">
        <v>115</v>
      </c>
      <c r="H5" s="9" t="s">
        <v>122</v>
      </c>
      <c r="I5" s="9" t="s">
        <v>123</v>
      </c>
      <c r="J5" s="16" t="s">
        <v>117</v>
      </c>
      <c r="K5" s="85" t="s">
        <v>118</v>
      </c>
      <c r="L5" s="16" t="s">
        <v>119</v>
      </c>
    </row>
    <row r="6" spans="1:12" ht="15" customHeight="1">
      <c r="A6" s="18" t="s">
        <v>120</v>
      </c>
      <c r="B6" s="18" t="s">
        <v>120</v>
      </c>
      <c r="C6" s="18" t="s">
        <v>120</v>
      </c>
      <c r="D6" s="16" t="s">
        <v>121</v>
      </c>
      <c r="E6" s="16" t="s">
        <v>93</v>
      </c>
      <c r="F6" s="16" t="s">
        <v>114</v>
      </c>
      <c r="G6" s="16" t="s">
        <v>115</v>
      </c>
      <c r="H6" s="16" t="s">
        <v>122</v>
      </c>
      <c r="I6" s="16" t="s">
        <v>123</v>
      </c>
      <c r="J6" s="16" t="s">
        <v>117</v>
      </c>
      <c r="K6" s="85" t="s">
        <v>118</v>
      </c>
      <c r="L6" s="16" t="s">
        <v>119</v>
      </c>
    </row>
    <row r="7" spans="1:12" ht="15" customHeight="1">
      <c r="A7" s="18" t="s">
        <v>120</v>
      </c>
      <c r="B7" s="18" t="s">
        <v>120</v>
      </c>
      <c r="C7" s="18" t="s">
        <v>120</v>
      </c>
      <c r="D7" s="16" t="s">
        <v>121</v>
      </c>
      <c r="E7" s="16" t="s">
        <v>93</v>
      </c>
      <c r="F7" s="16" t="s">
        <v>114</v>
      </c>
      <c r="G7" s="16" t="s">
        <v>115</v>
      </c>
      <c r="H7" s="16" t="s">
        <v>122</v>
      </c>
      <c r="I7" s="16" t="s">
        <v>123</v>
      </c>
      <c r="J7" s="16" t="s">
        <v>117</v>
      </c>
      <c r="K7" s="85" t="s">
        <v>118</v>
      </c>
      <c r="L7" s="16" t="s">
        <v>119</v>
      </c>
    </row>
    <row r="8" spans="1:12" ht="15" customHeight="1">
      <c r="A8" s="9" t="s">
        <v>124</v>
      </c>
      <c r="B8" s="9" t="s">
        <v>125</v>
      </c>
      <c r="C8" s="9" t="s">
        <v>126</v>
      </c>
      <c r="D8" s="9" t="s">
        <v>127</v>
      </c>
      <c r="E8" s="9" t="s">
        <v>15</v>
      </c>
      <c r="F8" s="9" t="s">
        <v>19</v>
      </c>
      <c r="G8" s="9" t="s">
        <v>12</v>
      </c>
      <c r="H8" s="9" t="s">
        <v>26</v>
      </c>
      <c r="I8" s="9" t="s">
        <v>30</v>
      </c>
      <c r="J8" s="9" t="s">
        <v>13</v>
      </c>
      <c r="K8" s="9" t="s">
        <v>37</v>
      </c>
      <c r="L8" s="9" t="s">
        <v>40</v>
      </c>
    </row>
    <row r="9" spans="1:12" ht="15.75" customHeight="1">
      <c r="A9" s="16" t="s">
        <v>124</v>
      </c>
      <c r="B9" s="16" t="s">
        <v>125</v>
      </c>
      <c r="C9" s="16" t="s">
        <v>126</v>
      </c>
      <c r="D9" s="9" t="s">
        <v>128</v>
      </c>
      <c r="E9" s="25">
        <f>38243270.74/10000</f>
        <v>3824.3270740000003</v>
      </c>
      <c r="F9" s="25">
        <f>38212000.55/10000</f>
        <v>3821.200055</v>
      </c>
      <c r="G9" s="25">
        <v>0</v>
      </c>
      <c r="H9" s="25">
        <v>0</v>
      </c>
      <c r="I9" s="25">
        <v>0</v>
      </c>
      <c r="J9" s="25">
        <v>0</v>
      </c>
      <c r="K9" s="25">
        <v>0</v>
      </c>
      <c r="L9" s="25">
        <f>31270.19/10000</f>
        <v>3.1270189999999998</v>
      </c>
    </row>
    <row r="10" spans="1:12" ht="15" customHeight="1">
      <c r="A10" s="46" t="s">
        <v>129</v>
      </c>
      <c r="B10" s="47" t="s">
        <v>129</v>
      </c>
      <c r="C10" s="47" t="s">
        <v>129</v>
      </c>
      <c r="D10" s="48" t="s">
        <v>130</v>
      </c>
      <c r="E10" s="54">
        <f>36016848.65/10000</f>
        <v>3601.6848649999997</v>
      </c>
      <c r="F10" s="54">
        <f>35985578.46/10000</f>
        <v>3598.557846</v>
      </c>
      <c r="G10" s="54">
        <v>0</v>
      </c>
      <c r="H10" s="54">
        <v>0</v>
      </c>
      <c r="I10" s="54">
        <v>0</v>
      </c>
      <c r="J10" s="54">
        <v>0</v>
      </c>
      <c r="K10" s="54">
        <v>0</v>
      </c>
      <c r="L10" s="54">
        <f>31270.19/10000</f>
        <v>3.1270189999999998</v>
      </c>
    </row>
    <row r="11" spans="1:12" ht="15" customHeight="1">
      <c r="A11" s="46" t="s">
        <v>131</v>
      </c>
      <c r="B11" s="47" t="s">
        <v>131</v>
      </c>
      <c r="C11" s="47" t="s">
        <v>131</v>
      </c>
      <c r="D11" s="48" t="s">
        <v>132</v>
      </c>
      <c r="E11" s="54">
        <f>1078600/10000</f>
        <v>107.86</v>
      </c>
      <c r="F11" s="54">
        <f>1078600/10000</f>
        <v>107.86</v>
      </c>
      <c r="G11" s="54">
        <v>0</v>
      </c>
      <c r="H11" s="54">
        <v>0</v>
      </c>
      <c r="I11" s="54">
        <v>0</v>
      </c>
      <c r="J11" s="54">
        <v>0</v>
      </c>
      <c r="K11" s="54">
        <v>0</v>
      </c>
      <c r="L11" s="54">
        <v>0</v>
      </c>
    </row>
    <row r="12" spans="1:12" ht="15" customHeight="1">
      <c r="A12" s="46" t="s">
        <v>133</v>
      </c>
      <c r="B12" s="47" t="s">
        <v>133</v>
      </c>
      <c r="C12" s="47" t="s">
        <v>133</v>
      </c>
      <c r="D12" s="48" t="s">
        <v>134</v>
      </c>
      <c r="E12" s="54">
        <f>1078600/10000</f>
        <v>107.86</v>
      </c>
      <c r="F12" s="54">
        <f>1078600/10000</f>
        <v>107.86</v>
      </c>
      <c r="G12" s="54">
        <v>0</v>
      </c>
      <c r="H12" s="54">
        <v>0</v>
      </c>
      <c r="I12" s="54">
        <v>0</v>
      </c>
      <c r="J12" s="54">
        <v>0</v>
      </c>
      <c r="K12" s="54">
        <v>0</v>
      </c>
      <c r="L12" s="54">
        <v>0</v>
      </c>
    </row>
    <row r="13" spans="1:12" ht="15" customHeight="1">
      <c r="A13" s="46" t="s">
        <v>135</v>
      </c>
      <c r="B13" s="47" t="s">
        <v>135</v>
      </c>
      <c r="C13" s="47" t="s">
        <v>135</v>
      </c>
      <c r="D13" s="48" t="s">
        <v>136</v>
      </c>
      <c r="E13" s="54">
        <f>458641.46/10000</f>
        <v>45.864146000000005</v>
      </c>
      <c r="F13" s="54">
        <f>458641.46/10000</f>
        <v>45.864146000000005</v>
      </c>
      <c r="G13" s="54">
        <v>0</v>
      </c>
      <c r="H13" s="54">
        <v>0</v>
      </c>
      <c r="I13" s="54">
        <v>0</v>
      </c>
      <c r="J13" s="54">
        <v>0</v>
      </c>
      <c r="K13" s="54">
        <v>0</v>
      </c>
      <c r="L13" s="54">
        <v>0</v>
      </c>
    </row>
    <row r="14" spans="1:12" ht="15" customHeight="1">
      <c r="A14" s="46" t="s">
        <v>137</v>
      </c>
      <c r="B14" s="47" t="s">
        <v>137</v>
      </c>
      <c r="C14" s="47" t="s">
        <v>137</v>
      </c>
      <c r="D14" s="48" t="s">
        <v>138</v>
      </c>
      <c r="E14" s="54">
        <f>500/10000</f>
        <v>0.05</v>
      </c>
      <c r="F14" s="54">
        <f>500/10000</f>
        <v>0.05</v>
      </c>
      <c r="G14" s="54">
        <v>0</v>
      </c>
      <c r="H14" s="54">
        <v>0</v>
      </c>
      <c r="I14" s="54">
        <v>0</v>
      </c>
      <c r="J14" s="54">
        <v>0</v>
      </c>
      <c r="K14" s="54">
        <v>0</v>
      </c>
      <c r="L14" s="54">
        <v>0</v>
      </c>
    </row>
    <row r="15" spans="1:12" ht="15" customHeight="1">
      <c r="A15" s="46" t="s">
        <v>139</v>
      </c>
      <c r="B15" s="47" t="s">
        <v>139</v>
      </c>
      <c r="C15" s="47" t="s">
        <v>139</v>
      </c>
      <c r="D15" s="48" t="s">
        <v>140</v>
      </c>
      <c r="E15" s="54">
        <f>458141.46/10000</f>
        <v>45.814146</v>
      </c>
      <c r="F15" s="54">
        <f>458141.46/10000</f>
        <v>45.814146</v>
      </c>
      <c r="G15" s="54">
        <v>0</v>
      </c>
      <c r="H15" s="54">
        <v>0</v>
      </c>
      <c r="I15" s="54">
        <v>0</v>
      </c>
      <c r="J15" s="54">
        <v>0</v>
      </c>
      <c r="K15" s="54">
        <v>0</v>
      </c>
      <c r="L15" s="54">
        <v>0</v>
      </c>
    </row>
    <row r="16" spans="1:12" ht="15" customHeight="1">
      <c r="A16" s="46" t="s">
        <v>141</v>
      </c>
      <c r="B16" s="47" t="s">
        <v>141</v>
      </c>
      <c r="C16" s="47" t="s">
        <v>141</v>
      </c>
      <c r="D16" s="48" t="s">
        <v>142</v>
      </c>
      <c r="E16" s="54">
        <f>8829735.94/10000</f>
        <v>882.9735939999999</v>
      </c>
      <c r="F16" s="54">
        <f>8828910/10000</f>
        <v>882.891</v>
      </c>
      <c r="G16" s="54">
        <v>0</v>
      </c>
      <c r="H16" s="54">
        <v>0</v>
      </c>
      <c r="I16" s="54">
        <v>0</v>
      </c>
      <c r="J16" s="54">
        <v>0</v>
      </c>
      <c r="K16" s="54">
        <v>0</v>
      </c>
      <c r="L16" s="54">
        <f>825.94/10000</f>
        <v>0.082594</v>
      </c>
    </row>
    <row r="17" spans="1:12" ht="15" customHeight="1">
      <c r="A17" s="46" t="s">
        <v>143</v>
      </c>
      <c r="B17" s="47" t="s">
        <v>143</v>
      </c>
      <c r="C17" s="47" t="s">
        <v>143</v>
      </c>
      <c r="D17" s="48" t="s">
        <v>144</v>
      </c>
      <c r="E17" s="54">
        <f>1879110/10000</f>
        <v>187.911</v>
      </c>
      <c r="F17" s="54">
        <f>1879110/10000</f>
        <v>187.911</v>
      </c>
      <c r="G17" s="54">
        <v>0</v>
      </c>
      <c r="H17" s="54">
        <v>0</v>
      </c>
      <c r="I17" s="54">
        <v>0</v>
      </c>
      <c r="J17" s="54">
        <v>0</v>
      </c>
      <c r="K17" s="54">
        <v>0</v>
      </c>
      <c r="L17" s="54">
        <v>0</v>
      </c>
    </row>
    <row r="18" spans="1:12" ht="15" customHeight="1">
      <c r="A18" s="46" t="s">
        <v>145</v>
      </c>
      <c r="B18" s="47" t="s">
        <v>145</v>
      </c>
      <c r="C18" s="47" t="s">
        <v>145</v>
      </c>
      <c r="D18" s="48" t="s">
        <v>146</v>
      </c>
      <c r="E18" s="54">
        <f>4838225.94/10000</f>
        <v>483.82259400000004</v>
      </c>
      <c r="F18" s="54">
        <f>4837400/10000</f>
        <v>483.74</v>
      </c>
      <c r="G18" s="54">
        <v>0</v>
      </c>
      <c r="H18" s="54">
        <v>0</v>
      </c>
      <c r="I18" s="54">
        <v>0</v>
      </c>
      <c r="J18" s="54">
        <v>0</v>
      </c>
      <c r="K18" s="54">
        <v>0</v>
      </c>
      <c r="L18" s="54">
        <f>825.94/10000</f>
        <v>0.082594</v>
      </c>
    </row>
    <row r="19" spans="1:12" ht="15" customHeight="1">
      <c r="A19" s="46" t="s">
        <v>147</v>
      </c>
      <c r="B19" s="47" t="s">
        <v>147</v>
      </c>
      <c r="C19" s="47" t="s">
        <v>147</v>
      </c>
      <c r="D19" s="48" t="s">
        <v>148</v>
      </c>
      <c r="E19" s="54">
        <f>2112400/10000</f>
        <v>211.24</v>
      </c>
      <c r="F19" s="54">
        <f>2112400/10000</f>
        <v>211.24</v>
      </c>
      <c r="G19" s="54">
        <v>0</v>
      </c>
      <c r="H19" s="54">
        <v>0</v>
      </c>
      <c r="I19" s="54">
        <v>0</v>
      </c>
      <c r="J19" s="54">
        <v>0</v>
      </c>
      <c r="K19" s="54">
        <v>0</v>
      </c>
      <c r="L19" s="54">
        <v>0</v>
      </c>
    </row>
    <row r="20" spans="1:12" ht="15" customHeight="1">
      <c r="A20" s="46" t="s">
        <v>149</v>
      </c>
      <c r="B20" s="47" t="s">
        <v>149</v>
      </c>
      <c r="C20" s="47" t="s">
        <v>149</v>
      </c>
      <c r="D20" s="83" t="s">
        <v>150</v>
      </c>
      <c r="E20" s="54">
        <f>12094048/10000</f>
        <v>1209.4048</v>
      </c>
      <c r="F20" s="54">
        <f>12094048/10000</f>
        <v>1209.4048</v>
      </c>
      <c r="G20" s="54">
        <v>0</v>
      </c>
      <c r="H20" s="54">
        <v>0</v>
      </c>
      <c r="I20" s="54">
        <v>0</v>
      </c>
      <c r="J20" s="54">
        <v>0</v>
      </c>
      <c r="K20" s="54">
        <v>0</v>
      </c>
      <c r="L20" s="54">
        <v>0</v>
      </c>
    </row>
    <row r="21" spans="1:12" ht="15" customHeight="1">
      <c r="A21" s="46" t="s">
        <v>151</v>
      </c>
      <c r="B21" s="47" t="s">
        <v>151</v>
      </c>
      <c r="C21" s="47" t="s">
        <v>151</v>
      </c>
      <c r="D21" s="48" t="s">
        <v>152</v>
      </c>
      <c r="E21" s="54">
        <f>11099848/10000</f>
        <v>1109.9848</v>
      </c>
      <c r="F21" s="54">
        <f>11099848/10000</f>
        <v>1109.9848</v>
      </c>
      <c r="G21" s="54">
        <v>0</v>
      </c>
      <c r="H21" s="54">
        <v>0</v>
      </c>
      <c r="I21" s="54">
        <v>0</v>
      </c>
      <c r="J21" s="54">
        <v>0</v>
      </c>
      <c r="K21" s="54">
        <v>0</v>
      </c>
      <c r="L21" s="54">
        <v>0</v>
      </c>
    </row>
    <row r="22" spans="1:12" ht="15" customHeight="1">
      <c r="A22" s="46" t="s">
        <v>153</v>
      </c>
      <c r="B22" s="47" t="s">
        <v>153</v>
      </c>
      <c r="C22" s="47" t="s">
        <v>153</v>
      </c>
      <c r="D22" s="48" t="s">
        <v>154</v>
      </c>
      <c r="E22" s="54">
        <f>78400/10000</f>
        <v>7.84</v>
      </c>
      <c r="F22" s="54">
        <f>78400/10000</f>
        <v>7.84</v>
      </c>
      <c r="G22" s="54">
        <v>0</v>
      </c>
      <c r="H22" s="54">
        <v>0</v>
      </c>
      <c r="I22" s="54">
        <v>0</v>
      </c>
      <c r="J22" s="54">
        <v>0</v>
      </c>
      <c r="K22" s="54">
        <v>0</v>
      </c>
      <c r="L22" s="54">
        <v>0</v>
      </c>
    </row>
    <row r="23" spans="1:12" ht="15" customHeight="1">
      <c r="A23" s="46" t="s">
        <v>155</v>
      </c>
      <c r="B23" s="47" t="s">
        <v>155</v>
      </c>
      <c r="C23" s="47" t="s">
        <v>155</v>
      </c>
      <c r="D23" s="48" t="s">
        <v>156</v>
      </c>
      <c r="E23" s="54">
        <f>915800/10000</f>
        <v>91.58</v>
      </c>
      <c r="F23" s="54">
        <f>915800/10000</f>
        <v>91.58</v>
      </c>
      <c r="G23" s="54">
        <v>0</v>
      </c>
      <c r="H23" s="54">
        <v>0</v>
      </c>
      <c r="I23" s="54">
        <v>0</v>
      </c>
      <c r="J23" s="54">
        <v>0</v>
      </c>
      <c r="K23" s="54">
        <v>0</v>
      </c>
      <c r="L23" s="54">
        <v>0</v>
      </c>
    </row>
    <row r="24" spans="1:12" ht="15" customHeight="1">
      <c r="A24" s="46" t="s">
        <v>157</v>
      </c>
      <c r="B24" s="47" t="s">
        <v>157</v>
      </c>
      <c r="C24" s="47" t="s">
        <v>157</v>
      </c>
      <c r="D24" s="48" t="s">
        <v>158</v>
      </c>
      <c r="E24" s="54">
        <f>50000/10000</f>
        <v>5</v>
      </c>
      <c r="F24" s="54">
        <f>50000/10000</f>
        <v>5</v>
      </c>
      <c r="G24" s="54">
        <v>0</v>
      </c>
      <c r="H24" s="54">
        <v>0</v>
      </c>
      <c r="I24" s="54">
        <v>0</v>
      </c>
      <c r="J24" s="54">
        <v>0</v>
      </c>
      <c r="K24" s="54">
        <v>0</v>
      </c>
      <c r="L24" s="54">
        <v>0</v>
      </c>
    </row>
    <row r="25" spans="1:12" ht="15" customHeight="1">
      <c r="A25" s="46" t="s">
        <v>159</v>
      </c>
      <c r="B25" s="47" t="s">
        <v>159</v>
      </c>
      <c r="C25" s="47" t="s">
        <v>159</v>
      </c>
      <c r="D25" s="48" t="s">
        <v>160</v>
      </c>
      <c r="E25" s="54">
        <f>50000/10000</f>
        <v>5</v>
      </c>
      <c r="F25" s="54">
        <f>50000/10000</f>
        <v>5</v>
      </c>
      <c r="G25" s="54">
        <v>0</v>
      </c>
      <c r="H25" s="54">
        <v>0</v>
      </c>
      <c r="I25" s="54">
        <v>0</v>
      </c>
      <c r="J25" s="54">
        <v>0</v>
      </c>
      <c r="K25" s="54">
        <v>0</v>
      </c>
      <c r="L25" s="54">
        <v>0</v>
      </c>
    </row>
    <row r="26" spans="1:12" ht="15" customHeight="1">
      <c r="A26" s="46" t="s">
        <v>161</v>
      </c>
      <c r="B26" s="47" t="s">
        <v>161</v>
      </c>
      <c r="C26" s="47" t="s">
        <v>161</v>
      </c>
      <c r="D26" s="48" t="s">
        <v>162</v>
      </c>
      <c r="E26" s="54">
        <f>13088823.25/10000</f>
        <v>1308.882325</v>
      </c>
      <c r="F26" s="54">
        <f>13058379/10000</f>
        <v>1305.8379</v>
      </c>
      <c r="G26" s="54">
        <v>0</v>
      </c>
      <c r="H26" s="54">
        <v>0</v>
      </c>
      <c r="I26" s="54">
        <v>0</v>
      </c>
      <c r="J26" s="54">
        <v>0</v>
      </c>
      <c r="K26" s="54">
        <v>0</v>
      </c>
      <c r="L26" s="54">
        <f>30444.25/10000</f>
        <v>3.044425</v>
      </c>
    </row>
    <row r="27" spans="1:12" ht="15" customHeight="1">
      <c r="A27" s="46" t="s">
        <v>163</v>
      </c>
      <c r="B27" s="47" t="s">
        <v>163</v>
      </c>
      <c r="C27" s="47" t="s">
        <v>163</v>
      </c>
      <c r="D27" s="48" t="s">
        <v>134</v>
      </c>
      <c r="E27" s="54">
        <f>749251.26/10000</f>
        <v>74.925126</v>
      </c>
      <c r="F27" s="54">
        <f>718824/10000</f>
        <v>71.8824</v>
      </c>
      <c r="G27" s="54">
        <v>0</v>
      </c>
      <c r="H27" s="54">
        <v>0</v>
      </c>
      <c r="I27" s="54">
        <v>0</v>
      </c>
      <c r="J27" s="54">
        <v>0</v>
      </c>
      <c r="K27" s="54">
        <v>0</v>
      </c>
      <c r="L27" s="54">
        <f>30427.26/10000</f>
        <v>3.042726</v>
      </c>
    </row>
    <row r="28" spans="1:12" ht="15" customHeight="1">
      <c r="A28" s="46" t="s">
        <v>164</v>
      </c>
      <c r="B28" s="47" t="s">
        <v>164</v>
      </c>
      <c r="C28" s="47" t="s">
        <v>164</v>
      </c>
      <c r="D28" s="48" t="s">
        <v>165</v>
      </c>
      <c r="E28" s="54">
        <f>1214000/10000</f>
        <v>121.4</v>
      </c>
      <c r="F28" s="54">
        <f>1214000/10000</f>
        <v>121.4</v>
      </c>
      <c r="G28" s="54">
        <v>0</v>
      </c>
      <c r="H28" s="54">
        <v>0</v>
      </c>
      <c r="I28" s="54">
        <v>0</v>
      </c>
      <c r="J28" s="54">
        <v>0</v>
      </c>
      <c r="K28" s="54">
        <v>0</v>
      </c>
      <c r="L28" s="54">
        <v>0</v>
      </c>
    </row>
    <row r="29" spans="1:12" ht="15" customHeight="1">
      <c r="A29" s="46" t="s">
        <v>166</v>
      </c>
      <c r="B29" s="47" t="s">
        <v>166</v>
      </c>
      <c r="C29" s="47" t="s">
        <v>166</v>
      </c>
      <c r="D29" s="48" t="s">
        <v>167</v>
      </c>
      <c r="E29" s="54">
        <f>8164400/10000</f>
        <v>816.44</v>
      </c>
      <c r="F29" s="54">
        <f>8164400/10000</f>
        <v>816.44</v>
      </c>
      <c r="G29" s="54">
        <v>0</v>
      </c>
      <c r="H29" s="54">
        <v>0</v>
      </c>
      <c r="I29" s="54">
        <v>0</v>
      </c>
      <c r="J29" s="54">
        <v>0</v>
      </c>
      <c r="K29" s="54">
        <v>0</v>
      </c>
      <c r="L29" s="54">
        <v>0</v>
      </c>
    </row>
    <row r="30" spans="1:12" ht="15" customHeight="1">
      <c r="A30" s="46" t="s">
        <v>168</v>
      </c>
      <c r="B30" s="47" t="s">
        <v>168</v>
      </c>
      <c r="C30" s="47" t="s">
        <v>168</v>
      </c>
      <c r="D30" s="48" t="s">
        <v>169</v>
      </c>
      <c r="E30" s="54">
        <f>679276/10000</f>
        <v>67.9276</v>
      </c>
      <c r="F30" s="54">
        <f>679276/10000</f>
        <v>67.9276</v>
      </c>
      <c r="G30" s="54">
        <v>0</v>
      </c>
      <c r="H30" s="54">
        <v>0</v>
      </c>
      <c r="I30" s="54">
        <v>0</v>
      </c>
      <c r="J30" s="54">
        <v>0</v>
      </c>
      <c r="K30" s="54">
        <v>0</v>
      </c>
      <c r="L30" s="54">
        <v>0</v>
      </c>
    </row>
    <row r="31" spans="1:12" ht="15" customHeight="1">
      <c r="A31" s="46" t="s">
        <v>170</v>
      </c>
      <c r="B31" s="47" t="s">
        <v>170</v>
      </c>
      <c r="C31" s="47" t="s">
        <v>170</v>
      </c>
      <c r="D31" s="48" t="s">
        <v>171</v>
      </c>
      <c r="E31" s="54">
        <f>740037.99/10000</f>
        <v>74.003799</v>
      </c>
      <c r="F31" s="54">
        <f>740021/10000</f>
        <v>74.0021</v>
      </c>
      <c r="G31" s="54">
        <v>0</v>
      </c>
      <c r="H31" s="54">
        <v>0</v>
      </c>
      <c r="I31" s="54">
        <v>0</v>
      </c>
      <c r="J31" s="54">
        <v>0</v>
      </c>
      <c r="K31" s="54">
        <v>0</v>
      </c>
      <c r="L31" s="54">
        <v>16.99</v>
      </c>
    </row>
    <row r="32" spans="1:12" ht="15" customHeight="1">
      <c r="A32" s="46" t="s">
        <v>172</v>
      </c>
      <c r="B32" s="47" t="s">
        <v>172</v>
      </c>
      <c r="C32" s="47" t="s">
        <v>172</v>
      </c>
      <c r="D32" s="48" t="s">
        <v>173</v>
      </c>
      <c r="E32" s="54">
        <f>1541858/10000</f>
        <v>154.1858</v>
      </c>
      <c r="F32" s="54">
        <f>1541858/10000</f>
        <v>154.1858</v>
      </c>
      <c r="G32" s="54">
        <v>0</v>
      </c>
      <c r="H32" s="54">
        <v>0</v>
      </c>
      <c r="I32" s="54">
        <v>0</v>
      </c>
      <c r="J32" s="54">
        <v>0</v>
      </c>
      <c r="K32" s="54">
        <v>0</v>
      </c>
      <c r="L32" s="54">
        <v>0</v>
      </c>
    </row>
    <row r="33" spans="1:12" ht="15" customHeight="1">
      <c r="A33" s="46" t="s">
        <v>174</v>
      </c>
      <c r="B33" s="47" t="s">
        <v>174</v>
      </c>
      <c r="C33" s="47" t="s">
        <v>174</v>
      </c>
      <c r="D33" s="48" t="s">
        <v>175</v>
      </c>
      <c r="E33" s="54">
        <f>417000/10000</f>
        <v>41.7</v>
      </c>
      <c r="F33" s="54">
        <f>417000/10000</f>
        <v>41.7</v>
      </c>
      <c r="G33" s="54">
        <v>0</v>
      </c>
      <c r="H33" s="54">
        <v>0</v>
      </c>
      <c r="I33" s="54">
        <v>0</v>
      </c>
      <c r="J33" s="54">
        <v>0</v>
      </c>
      <c r="K33" s="54">
        <v>0</v>
      </c>
      <c r="L33" s="54">
        <v>0</v>
      </c>
    </row>
    <row r="34" spans="1:12" ht="15" customHeight="1">
      <c r="A34" s="46" t="s">
        <v>176</v>
      </c>
      <c r="B34" s="47" t="s">
        <v>176</v>
      </c>
      <c r="C34" s="47" t="s">
        <v>176</v>
      </c>
      <c r="D34" s="48" t="s">
        <v>177</v>
      </c>
      <c r="E34" s="54">
        <f>417000/10000</f>
        <v>41.7</v>
      </c>
      <c r="F34" s="54">
        <f>417000/10000</f>
        <v>41.7</v>
      </c>
      <c r="G34" s="54">
        <v>0</v>
      </c>
      <c r="H34" s="54">
        <v>0</v>
      </c>
      <c r="I34" s="54">
        <v>0</v>
      </c>
      <c r="J34" s="54">
        <v>0</v>
      </c>
      <c r="K34" s="54">
        <v>0</v>
      </c>
      <c r="L34" s="54">
        <v>0</v>
      </c>
    </row>
    <row r="35" spans="1:12" ht="15" customHeight="1">
      <c r="A35" s="46" t="s">
        <v>178</v>
      </c>
      <c r="B35" s="47" t="s">
        <v>178</v>
      </c>
      <c r="C35" s="47" t="s">
        <v>178</v>
      </c>
      <c r="D35" s="48" t="s">
        <v>179</v>
      </c>
      <c r="E35" s="54">
        <f>1147863.81/10000</f>
        <v>114.786381</v>
      </c>
      <c r="F35" s="54">
        <f>1147863.81/10000</f>
        <v>114.786381</v>
      </c>
      <c r="G35" s="54">
        <v>0</v>
      </c>
      <c r="H35" s="54">
        <v>0</v>
      </c>
      <c r="I35" s="54">
        <v>0</v>
      </c>
      <c r="J35" s="54">
        <v>0</v>
      </c>
      <c r="K35" s="54">
        <v>0</v>
      </c>
      <c r="L35" s="54">
        <v>0</v>
      </c>
    </row>
    <row r="36" spans="1:12" ht="15" customHeight="1">
      <c r="A36" s="46" t="s">
        <v>180</v>
      </c>
      <c r="B36" s="47" t="s">
        <v>180</v>
      </c>
      <c r="C36" s="47" t="s">
        <v>180</v>
      </c>
      <c r="D36" s="48" t="s">
        <v>181</v>
      </c>
      <c r="E36" s="54">
        <f>1084988.2/10000</f>
        <v>108.49882</v>
      </c>
      <c r="F36" s="54">
        <f>1084988.2/10000</f>
        <v>108.49882</v>
      </c>
      <c r="G36" s="54">
        <v>0</v>
      </c>
      <c r="H36" s="54">
        <v>0</v>
      </c>
      <c r="I36" s="54">
        <v>0</v>
      </c>
      <c r="J36" s="54">
        <v>0</v>
      </c>
      <c r="K36" s="54">
        <v>0</v>
      </c>
      <c r="L36" s="54">
        <v>0</v>
      </c>
    </row>
    <row r="37" spans="1:12" ht="15" customHeight="1">
      <c r="A37" s="46" t="s">
        <v>182</v>
      </c>
      <c r="B37" s="47" t="s">
        <v>182</v>
      </c>
      <c r="C37" s="47" t="s">
        <v>182</v>
      </c>
      <c r="D37" s="48" t="s">
        <v>183</v>
      </c>
      <c r="E37" s="54">
        <f>173734/10000</f>
        <v>17.3734</v>
      </c>
      <c r="F37" s="54">
        <f>173734/10000</f>
        <v>17.3734</v>
      </c>
      <c r="G37" s="54">
        <v>0</v>
      </c>
      <c r="H37" s="54">
        <v>0</v>
      </c>
      <c r="I37" s="54">
        <v>0</v>
      </c>
      <c r="J37" s="54">
        <v>0</v>
      </c>
      <c r="K37" s="54">
        <v>0</v>
      </c>
      <c r="L37" s="54">
        <v>0</v>
      </c>
    </row>
    <row r="38" spans="1:12" ht="15" customHeight="1">
      <c r="A38" s="46" t="s">
        <v>184</v>
      </c>
      <c r="B38" s="47" t="s">
        <v>184</v>
      </c>
      <c r="C38" s="47" t="s">
        <v>184</v>
      </c>
      <c r="D38" s="48" t="s">
        <v>185</v>
      </c>
      <c r="E38" s="54">
        <f>888354.2/10000</f>
        <v>88.83542</v>
      </c>
      <c r="F38" s="54">
        <f>888354.2/10000</f>
        <v>88.83542</v>
      </c>
      <c r="G38" s="54">
        <v>0</v>
      </c>
      <c r="H38" s="54">
        <v>0</v>
      </c>
      <c r="I38" s="54">
        <v>0</v>
      </c>
      <c r="J38" s="54">
        <v>0</v>
      </c>
      <c r="K38" s="54">
        <v>0</v>
      </c>
      <c r="L38" s="54">
        <v>0</v>
      </c>
    </row>
    <row r="39" spans="1:12" ht="15" customHeight="1">
      <c r="A39" s="46" t="s">
        <v>186</v>
      </c>
      <c r="B39" s="47" t="s">
        <v>186</v>
      </c>
      <c r="C39" s="47" t="s">
        <v>186</v>
      </c>
      <c r="D39" s="48" t="s">
        <v>187</v>
      </c>
      <c r="E39" s="54">
        <f>22900/10000</f>
        <v>2.29</v>
      </c>
      <c r="F39" s="54">
        <f>22900/10000</f>
        <v>2.29</v>
      </c>
      <c r="G39" s="54">
        <v>0</v>
      </c>
      <c r="H39" s="54">
        <v>0</v>
      </c>
      <c r="I39" s="54">
        <v>0</v>
      </c>
      <c r="J39" s="54">
        <v>0</v>
      </c>
      <c r="K39" s="54">
        <v>0</v>
      </c>
      <c r="L39" s="54">
        <v>0</v>
      </c>
    </row>
    <row r="40" spans="1:12" ht="15" customHeight="1">
      <c r="A40" s="46" t="s">
        <v>188</v>
      </c>
      <c r="B40" s="47" t="s">
        <v>188</v>
      </c>
      <c r="C40" s="47" t="s">
        <v>188</v>
      </c>
      <c r="D40" s="48" t="s">
        <v>189</v>
      </c>
      <c r="E40" s="54">
        <f>62875.61/10000</f>
        <v>6.287561</v>
      </c>
      <c r="F40" s="54">
        <f>62875.61/10000</f>
        <v>6.287561</v>
      </c>
      <c r="G40" s="54">
        <v>0</v>
      </c>
      <c r="H40" s="54">
        <v>0</v>
      </c>
      <c r="I40" s="54">
        <v>0</v>
      </c>
      <c r="J40" s="54">
        <v>0</v>
      </c>
      <c r="K40" s="54">
        <v>0</v>
      </c>
      <c r="L40" s="54">
        <v>0</v>
      </c>
    </row>
    <row r="41" spans="1:12" ht="15" customHeight="1">
      <c r="A41" s="46" t="s">
        <v>190</v>
      </c>
      <c r="B41" s="47" t="s">
        <v>190</v>
      </c>
      <c r="C41" s="47" t="s">
        <v>190</v>
      </c>
      <c r="D41" s="48" t="s">
        <v>191</v>
      </c>
      <c r="E41" s="54">
        <f>62875.61/10000</f>
        <v>6.287561</v>
      </c>
      <c r="F41" s="54">
        <f>62875.61/10000</f>
        <v>6.287561</v>
      </c>
      <c r="G41" s="54">
        <v>0</v>
      </c>
      <c r="H41" s="54">
        <v>0</v>
      </c>
      <c r="I41" s="54">
        <v>0</v>
      </c>
      <c r="J41" s="54">
        <v>0</v>
      </c>
      <c r="K41" s="54">
        <v>0</v>
      </c>
      <c r="L41" s="54">
        <v>0</v>
      </c>
    </row>
    <row r="42" spans="1:12" ht="15" customHeight="1">
      <c r="A42" s="46" t="s">
        <v>192</v>
      </c>
      <c r="B42" s="47" t="s">
        <v>192</v>
      </c>
      <c r="C42" s="47" t="s">
        <v>192</v>
      </c>
      <c r="D42" s="48" t="s">
        <v>193</v>
      </c>
      <c r="E42" s="54">
        <f>278558.28/10000</f>
        <v>27.855828000000002</v>
      </c>
      <c r="F42" s="54">
        <f>278558.28/10000</f>
        <v>27.855828000000002</v>
      </c>
      <c r="G42" s="54">
        <v>0</v>
      </c>
      <c r="H42" s="54">
        <v>0</v>
      </c>
      <c r="I42" s="54">
        <v>0</v>
      </c>
      <c r="J42" s="54">
        <v>0</v>
      </c>
      <c r="K42" s="54">
        <v>0</v>
      </c>
      <c r="L42" s="54">
        <v>0</v>
      </c>
    </row>
    <row r="43" spans="1:12" ht="15" customHeight="1">
      <c r="A43" s="46" t="s">
        <v>194</v>
      </c>
      <c r="B43" s="47" t="s">
        <v>194</v>
      </c>
      <c r="C43" s="47" t="s">
        <v>194</v>
      </c>
      <c r="D43" s="48" t="s">
        <v>195</v>
      </c>
      <c r="E43" s="54">
        <f>278558.28/10000</f>
        <v>27.855828000000002</v>
      </c>
      <c r="F43" s="54">
        <f>278558.28/10000</f>
        <v>27.855828000000002</v>
      </c>
      <c r="G43" s="54">
        <v>0</v>
      </c>
      <c r="H43" s="54">
        <v>0</v>
      </c>
      <c r="I43" s="54">
        <v>0</v>
      </c>
      <c r="J43" s="54">
        <v>0</v>
      </c>
      <c r="K43" s="54">
        <v>0</v>
      </c>
      <c r="L43" s="54">
        <v>0</v>
      </c>
    </row>
    <row r="44" spans="1:12" ht="15" customHeight="1">
      <c r="A44" s="46" t="s">
        <v>196</v>
      </c>
      <c r="B44" s="47" t="s">
        <v>196</v>
      </c>
      <c r="C44" s="47" t="s">
        <v>196</v>
      </c>
      <c r="D44" s="48" t="s">
        <v>197</v>
      </c>
      <c r="E44" s="54">
        <f>278558.28/10000</f>
        <v>27.855828000000002</v>
      </c>
      <c r="F44" s="54">
        <f>278558.28/10000</f>
        <v>27.855828000000002</v>
      </c>
      <c r="G44" s="54">
        <v>0</v>
      </c>
      <c r="H44" s="54">
        <v>0</v>
      </c>
      <c r="I44" s="54">
        <v>0</v>
      </c>
      <c r="J44" s="54">
        <v>0</v>
      </c>
      <c r="K44" s="54">
        <v>0</v>
      </c>
      <c r="L44" s="54">
        <v>0</v>
      </c>
    </row>
    <row r="45" spans="1:12" ht="15" customHeight="1">
      <c r="A45" s="46" t="s">
        <v>198</v>
      </c>
      <c r="B45" s="47" t="s">
        <v>198</v>
      </c>
      <c r="C45" s="47" t="s">
        <v>198</v>
      </c>
      <c r="D45" s="48" t="s">
        <v>199</v>
      </c>
      <c r="E45" s="54">
        <f>800000/10000</f>
        <v>80</v>
      </c>
      <c r="F45" s="54">
        <f>800000/10000</f>
        <v>80</v>
      </c>
      <c r="G45" s="54">
        <v>0</v>
      </c>
      <c r="H45" s="54">
        <v>0</v>
      </c>
      <c r="I45" s="54">
        <v>0</v>
      </c>
      <c r="J45" s="54">
        <v>0</v>
      </c>
      <c r="K45" s="54">
        <v>0</v>
      </c>
      <c r="L45" s="54">
        <v>0</v>
      </c>
    </row>
    <row r="46" spans="1:12" ht="15" customHeight="1">
      <c r="A46" s="49" t="s">
        <v>200</v>
      </c>
      <c r="B46" s="50" t="s">
        <v>200</v>
      </c>
      <c r="C46" s="50" t="s">
        <v>200</v>
      </c>
      <c r="D46" s="51" t="s">
        <v>201</v>
      </c>
      <c r="E46" s="55">
        <f>800000/10000</f>
        <v>80</v>
      </c>
      <c r="F46" s="55">
        <f>800000/10000</f>
        <v>80</v>
      </c>
      <c r="G46" s="55">
        <v>0</v>
      </c>
      <c r="H46" s="55">
        <v>0</v>
      </c>
      <c r="I46" s="55">
        <v>0</v>
      </c>
      <c r="J46" s="55">
        <v>0</v>
      </c>
      <c r="K46" s="55">
        <v>0</v>
      </c>
      <c r="L46" s="55">
        <v>0</v>
      </c>
    </row>
    <row r="47" spans="1:12" ht="15" customHeight="1">
      <c r="A47" s="19" t="s">
        <v>202</v>
      </c>
      <c r="B47" s="20" t="s">
        <v>202</v>
      </c>
      <c r="C47" s="20" t="s">
        <v>202</v>
      </c>
      <c r="D47" s="19" t="s">
        <v>203</v>
      </c>
      <c r="E47" s="25">
        <f>800000/10000</f>
        <v>80</v>
      </c>
      <c r="F47" s="25">
        <f>800000/10000</f>
        <v>80</v>
      </c>
      <c r="G47" s="25">
        <v>0</v>
      </c>
      <c r="H47" s="25">
        <v>0</v>
      </c>
      <c r="I47" s="25">
        <v>0</v>
      </c>
      <c r="J47" s="25">
        <v>0</v>
      </c>
      <c r="K47" s="25">
        <v>0</v>
      </c>
      <c r="L47" s="25">
        <v>0</v>
      </c>
    </row>
    <row r="48" spans="1:12" ht="15" customHeight="1">
      <c r="A48" s="81" t="s">
        <v>204</v>
      </c>
      <c r="B48" s="82" t="s">
        <v>204</v>
      </c>
      <c r="C48" s="82" t="s">
        <v>204</v>
      </c>
      <c r="D48" s="82" t="s">
        <v>204</v>
      </c>
      <c r="E48" s="82" t="s">
        <v>204</v>
      </c>
      <c r="F48" s="82" t="s">
        <v>204</v>
      </c>
      <c r="G48" s="82" t="s">
        <v>204</v>
      </c>
      <c r="H48" s="82" t="s">
        <v>204</v>
      </c>
      <c r="I48" s="82" t="s">
        <v>204</v>
      </c>
      <c r="J48" s="82" t="s">
        <v>204</v>
      </c>
      <c r="K48" s="82" t="s">
        <v>204</v>
      </c>
      <c r="L48" s="82" t="s">
        <v>204</v>
      </c>
    </row>
  </sheetData>
  <sheetProtection/>
  <mergeCells count="55">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L4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landscape" scale="65"/>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9"/>
  <sheetViews>
    <sheetView workbookViewId="0" topLeftCell="A1">
      <selection activeCell="A3" sqref="A3"/>
    </sheetView>
  </sheetViews>
  <sheetFormatPr defaultColWidth="9.140625" defaultRowHeight="12.75"/>
  <cols>
    <col min="1" max="3" width="4.421875" style="0" customWidth="1"/>
    <col min="4" max="4" width="32.8515625" style="0" customWidth="1"/>
    <col min="5" max="10" width="17.140625" style="0" customWidth="1"/>
  </cols>
  <sheetData>
    <row r="1" spans="1:10" ht="27.75" customHeight="1">
      <c r="A1" s="12" t="s">
        <v>205</v>
      </c>
      <c r="B1" s="12"/>
      <c r="C1" s="12"/>
      <c r="D1" s="12"/>
      <c r="E1" s="12"/>
      <c r="F1" s="12"/>
      <c r="G1" s="12"/>
      <c r="H1" s="12"/>
      <c r="I1" s="12"/>
      <c r="J1" s="12"/>
    </row>
    <row r="2" spans="1:10" ht="15" customHeight="1">
      <c r="A2" s="3"/>
      <c r="B2" s="4"/>
      <c r="C2" s="4"/>
      <c r="D2" s="4"/>
      <c r="E2" s="4"/>
      <c r="F2" s="4"/>
      <c r="G2" s="4"/>
      <c r="H2" s="4"/>
      <c r="I2" s="4"/>
      <c r="J2" s="5" t="s">
        <v>1</v>
      </c>
    </row>
    <row r="3" spans="1:10" ht="15" customHeight="1">
      <c r="A3" s="29" t="s">
        <v>2</v>
      </c>
      <c r="B3" s="30"/>
      <c r="C3" s="30"/>
      <c r="D3" s="30"/>
      <c r="E3" s="38" t="s">
        <v>3</v>
      </c>
      <c r="F3" s="30"/>
      <c r="G3" s="30"/>
      <c r="H3" s="30"/>
      <c r="I3" s="30"/>
      <c r="J3" s="5" t="s">
        <v>206</v>
      </c>
    </row>
    <row r="4" spans="1:10" ht="15" customHeight="1">
      <c r="A4" s="9" t="s">
        <v>7</v>
      </c>
      <c r="B4" s="16" t="s">
        <v>7</v>
      </c>
      <c r="C4" s="16" t="s">
        <v>7</v>
      </c>
      <c r="D4" s="16" t="s">
        <v>7</v>
      </c>
      <c r="E4" s="17" t="s">
        <v>95</v>
      </c>
      <c r="F4" s="17" t="s">
        <v>207</v>
      </c>
      <c r="G4" s="17" t="s">
        <v>208</v>
      </c>
      <c r="H4" s="17" t="s">
        <v>209</v>
      </c>
      <c r="I4" s="17" t="s">
        <v>210</v>
      </c>
      <c r="J4" s="17" t="s">
        <v>211</v>
      </c>
    </row>
    <row r="5" spans="1:10" ht="15" customHeight="1">
      <c r="A5" s="17" t="s">
        <v>120</v>
      </c>
      <c r="B5" s="18" t="s">
        <v>120</v>
      </c>
      <c r="C5" s="18" t="s">
        <v>120</v>
      </c>
      <c r="D5" s="9" t="s">
        <v>121</v>
      </c>
      <c r="E5" s="18" t="s">
        <v>95</v>
      </c>
      <c r="F5" s="18" t="s">
        <v>207</v>
      </c>
      <c r="G5" s="18" t="s">
        <v>208</v>
      </c>
      <c r="H5" s="18" t="s">
        <v>209</v>
      </c>
      <c r="I5" s="18" t="s">
        <v>210</v>
      </c>
      <c r="J5" s="18" t="s">
        <v>211</v>
      </c>
    </row>
    <row r="6" spans="1:10" ht="15" customHeight="1">
      <c r="A6" s="18" t="s">
        <v>120</v>
      </c>
      <c r="B6" s="18" t="s">
        <v>120</v>
      </c>
      <c r="C6" s="18" t="s">
        <v>120</v>
      </c>
      <c r="D6" s="16" t="s">
        <v>121</v>
      </c>
      <c r="E6" s="18" t="s">
        <v>95</v>
      </c>
      <c r="F6" s="18" t="s">
        <v>207</v>
      </c>
      <c r="G6" s="18" t="s">
        <v>208</v>
      </c>
      <c r="H6" s="18" t="s">
        <v>209</v>
      </c>
      <c r="I6" s="18" t="s">
        <v>210</v>
      </c>
      <c r="J6" s="18" t="s">
        <v>211</v>
      </c>
    </row>
    <row r="7" spans="1:10" ht="15" customHeight="1">
      <c r="A7" s="18" t="s">
        <v>120</v>
      </c>
      <c r="B7" s="18" t="s">
        <v>120</v>
      </c>
      <c r="C7" s="18" t="s">
        <v>120</v>
      </c>
      <c r="D7" s="16" t="s">
        <v>121</v>
      </c>
      <c r="E7" s="18" t="s">
        <v>95</v>
      </c>
      <c r="F7" s="18" t="s">
        <v>207</v>
      </c>
      <c r="G7" s="18" t="s">
        <v>208</v>
      </c>
      <c r="H7" s="18" t="s">
        <v>209</v>
      </c>
      <c r="I7" s="18" t="s">
        <v>210</v>
      </c>
      <c r="J7" s="18" t="s">
        <v>211</v>
      </c>
    </row>
    <row r="8" spans="1:10" ht="15" customHeight="1">
      <c r="A8" s="9" t="s">
        <v>124</v>
      </c>
      <c r="B8" s="9" t="s">
        <v>125</v>
      </c>
      <c r="C8" s="9" t="s">
        <v>126</v>
      </c>
      <c r="D8" s="9" t="s">
        <v>127</v>
      </c>
      <c r="E8" s="17" t="s">
        <v>15</v>
      </c>
      <c r="F8" s="17" t="s">
        <v>19</v>
      </c>
      <c r="G8" s="17" t="s">
        <v>12</v>
      </c>
      <c r="H8" s="17" t="s">
        <v>26</v>
      </c>
      <c r="I8" s="17" t="s">
        <v>30</v>
      </c>
      <c r="J8" s="17" t="s">
        <v>13</v>
      </c>
    </row>
    <row r="9" spans="1:10" ht="15" customHeight="1">
      <c r="A9" s="16" t="s">
        <v>124</v>
      </c>
      <c r="B9" s="16" t="s">
        <v>125</v>
      </c>
      <c r="C9" s="16" t="s">
        <v>126</v>
      </c>
      <c r="D9" s="9" t="s">
        <v>128</v>
      </c>
      <c r="E9" s="25">
        <f>33308978.71/10000</f>
        <v>3330.897871</v>
      </c>
      <c r="F9" s="25">
        <f>21798622.4/10000</f>
        <v>2179.86224</v>
      </c>
      <c r="G9" s="25">
        <f>11510356.31/10000</f>
        <v>1151.035631</v>
      </c>
      <c r="H9" s="25">
        <v>0</v>
      </c>
      <c r="I9" s="25">
        <v>0</v>
      </c>
      <c r="J9" s="25">
        <v>0</v>
      </c>
    </row>
    <row r="10" spans="1:10" ht="15" customHeight="1">
      <c r="A10" s="46" t="s">
        <v>129</v>
      </c>
      <c r="B10" s="47" t="s">
        <v>129</v>
      </c>
      <c r="C10" s="47" t="s">
        <v>129</v>
      </c>
      <c r="D10" s="48" t="s">
        <v>130</v>
      </c>
      <c r="E10" s="54">
        <f>31475549.66/10000</f>
        <v>3147.554966</v>
      </c>
      <c r="F10" s="54">
        <f>20028068.96/10000</f>
        <v>2002.806896</v>
      </c>
      <c r="G10" s="54">
        <f>11447480.7/10000</f>
        <v>1144.7480699999999</v>
      </c>
      <c r="H10" s="54">
        <v>0</v>
      </c>
      <c r="I10" s="54">
        <v>0</v>
      </c>
      <c r="J10" s="54">
        <v>0</v>
      </c>
    </row>
    <row r="11" spans="1:10" ht="15" customHeight="1">
      <c r="A11" s="46" t="s">
        <v>131</v>
      </c>
      <c r="B11" s="47" t="s">
        <v>131</v>
      </c>
      <c r="C11" s="47" t="s">
        <v>131</v>
      </c>
      <c r="D11" s="48" t="s">
        <v>132</v>
      </c>
      <c r="E11" s="54">
        <f>5315640/10000</f>
        <v>531.564</v>
      </c>
      <c r="F11" s="54">
        <f>1178600/10000</f>
        <v>117.86</v>
      </c>
      <c r="G11" s="54">
        <f>4137040/10000</f>
        <v>413.704</v>
      </c>
      <c r="H11" s="54">
        <v>0</v>
      </c>
      <c r="I11" s="54">
        <v>0</v>
      </c>
      <c r="J11" s="54">
        <v>0</v>
      </c>
    </row>
    <row r="12" spans="1:10" ht="15" customHeight="1">
      <c r="A12" s="46" t="s">
        <v>133</v>
      </c>
      <c r="B12" s="47" t="s">
        <v>133</v>
      </c>
      <c r="C12" s="47" t="s">
        <v>133</v>
      </c>
      <c r="D12" s="48" t="s">
        <v>134</v>
      </c>
      <c r="E12" s="54">
        <f>1178600/10000</f>
        <v>117.86</v>
      </c>
      <c r="F12" s="54">
        <f>1178600/10000</f>
        <v>117.86</v>
      </c>
      <c r="G12" s="54">
        <v>0</v>
      </c>
      <c r="H12" s="54">
        <v>0</v>
      </c>
      <c r="I12" s="54">
        <v>0</v>
      </c>
      <c r="J12" s="54">
        <v>0</v>
      </c>
    </row>
    <row r="13" spans="1:10" ht="15" customHeight="1">
      <c r="A13" s="46" t="s">
        <v>212</v>
      </c>
      <c r="B13" s="47" t="s">
        <v>212</v>
      </c>
      <c r="C13" s="47" t="s">
        <v>212</v>
      </c>
      <c r="D13" s="48" t="s">
        <v>213</v>
      </c>
      <c r="E13" s="54">
        <f>4137040/10000</f>
        <v>413.704</v>
      </c>
      <c r="F13" s="54">
        <v>0</v>
      </c>
      <c r="G13" s="54">
        <f>4137040/10000</f>
        <v>413.704</v>
      </c>
      <c r="H13" s="54">
        <v>0</v>
      </c>
      <c r="I13" s="54">
        <v>0</v>
      </c>
      <c r="J13" s="54">
        <v>0</v>
      </c>
    </row>
    <row r="14" spans="1:10" ht="15" customHeight="1">
      <c r="A14" s="46" t="s">
        <v>135</v>
      </c>
      <c r="B14" s="47" t="s">
        <v>135</v>
      </c>
      <c r="C14" s="47" t="s">
        <v>135</v>
      </c>
      <c r="D14" s="48" t="s">
        <v>136</v>
      </c>
      <c r="E14" s="54">
        <f>481774.05/10000</f>
        <v>48.177405</v>
      </c>
      <c r="F14" s="54">
        <f>481774.05/10000</f>
        <v>48.177405</v>
      </c>
      <c r="G14" s="54">
        <v>0</v>
      </c>
      <c r="H14" s="54">
        <v>0</v>
      </c>
      <c r="I14" s="54">
        <v>0</v>
      </c>
      <c r="J14" s="54">
        <v>0</v>
      </c>
    </row>
    <row r="15" spans="1:10" ht="15" customHeight="1">
      <c r="A15" s="46" t="s">
        <v>137</v>
      </c>
      <c r="B15" s="47" t="s">
        <v>137</v>
      </c>
      <c r="C15" s="47" t="s">
        <v>137</v>
      </c>
      <c r="D15" s="48" t="s">
        <v>138</v>
      </c>
      <c r="E15" s="54">
        <f>500/10000</f>
        <v>0.05</v>
      </c>
      <c r="F15" s="54">
        <f>500/10000</f>
        <v>0.05</v>
      </c>
      <c r="G15" s="54">
        <v>0</v>
      </c>
      <c r="H15" s="54">
        <v>0</v>
      </c>
      <c r="I15" s="54">
        <v>0</v>
      </c>
      <c r="J15" s="54">
        <v>0</v>
      </c>
    </row>
    <row r="16" spans="1:10" ht="15" customHeight="1">
      <c r="A16" s="46" t="s">
        <v>139</v>
      </c>
      <c r="B16" s="47" t="s">
        <v>139</v>
      </c>
      <c r="C16" s="47" t="s">
        <v>139</v>
      </c>
      <c r="D16" s="48" t="s">
        <v>140</v>
      </c>
      <c r="E16" s="54">
        <f>448185.97/10000</f>
        <v>44.818597</v>
      </c>
      <c r="F16" s="54">
        <f>448185.97/10000</f>
        <v>44.818597</v>
      </c>
      <c r="G16" s="54">
        <v>0</v>
      </c>
      <c r="H16" s="54">
        <v>0</v>
      </c>
      <c r="I16" s="54">
        <v>0</v>
      </c>
      <c r="J16" s="54">
        <v>0</v>
      </c>
    </row>
    <row r="17" spans="1:10" ht="15" customHeight="1">
      <c r="A17" s="46" t="s">
        <v>214</v>
      </c>
      <c r="B17" s="47" t="s">
        <v>214</v>
      </c>
      <c r="C17" s="47" t="s">
        <v>214</v>
      </c>
      <c r="D17" s="48" t="s">
        <v>215</v>
      </c>
      <c r="E17" s="54">
        <f>33088.08/10000</f>
        <v>3.308808</v>
      </c>
      <c r="F17" s="54">
        <f>33088.08/10000</f>
        <v>3.308808</v>
      </c>
      <c r="G17" s="54">
        <v>0</v>
      </c>
      <c r="H17" s="54">
        <v>0</v>
      </c>
      <c r="I17" s="54">
        <v>0</v>
      </c>
      <c r="J17" s="54">
        <v>0</v>
      </c>
    </row>
    <row r="18" spans="1:10" ht="15" customHeight="1">
      <c r="A18" s="46" t="s">
        <v>141</v>
      </c>
      <c r="B18" s="47" t="s">
        <v>141</v>
      </c>
      <c r="C18" s="47" t="s">
        <v>141</v>
      </c>
      <c r="D18" s="48" t="s">
        <v>142</v>
      </c>
      <c r="E18" s="54">
        <f>4851467.17/10000</f>
        <v>485.14671699999997</v>
      </c>
      <c r="F18" s="54">
        <f>4058800.7/10000</f>
        <v>405.88007000000005</v>
      </c>
      <c r="G18" s="54">
        <f>792666.47/10000</f>
        <v>79.26664699999999</v>
      </c>
      <c r="H18" s="54">
        <v>0</v>
      </c>
      <c r="I18" s="54">
        <v>0</v>
      </c>
      <c r="J18" s="54">
        <v>0</v>
      </c>
    </row>
    <row r="19" spans="1:10" ht="15" customHeight="1">
      <c r="A19" s="46" t="s">
        <v>143</v>
      </c>
      <c r="B19" s="47" t="s">
        <v>143</v>
      </c>
      <c r="C19" s="47" t="s">
        <v>143</v>
      </c>
      <c r="D19" s="48" t="s">
        <v>144</v>
      </c>
      <c r="E19" s="54">
        <f>1879110/10000</f>
        <v>187.911</v>
      </c>
      <c r="F19" s="54">
        <f>1879110/10000</f>
        <v>187.911</v>
      </c>
      <c r="G19" s="54">
        <v>0</v>
      </c>
      <c r="H19" s="54">
        <v>0</v>
      </c>
      <c r="I19" s="54">
        <v>0</v>
      </c>
      <c r="J19" s="54">
        <v>0</v>
      </c>
    </row>
    <row r="20" spans="1:10" ht="15" customHeight="1">
      <c r="A20" s="46" t="s">
        <v>145</v>
      </c>
      <c r="B20" s="47" t="s">
        <v>145</v>
      </c>
      <c r="C20" s="47" t="s">
        <v>145</v>
      </c>
      <c r="D20" s="48" t="s">
        <v>146</v>
      </c>
      <c r="E20" s="54">
        <f>2972357.17/10000</f>
        <v>297.23571699999997</v>
      </c>
      <c r="F20" s="54">
        <f>2179690.7/10000</f>
        <v>217.96907000000002</v>
      </c>
      <c r="G20" s="54">
        <f>792666.47/10000</f>
        <v>79.26664699999999</v>
      </c>
      <c r="H20" s="54">
        <v>0</v>
      </c>
      <c r="I20" s="54">
        <v>0</v>
      </c>
      <c r="J20" s="54">
        <v>0</v>
      </c>
    </row>
    <row r="21" spans="1:10" ht="15" customHeight="1">
      <c r="A21" s="46" t="s">
        <v>149</v>
      </c>
      <c r="B21" s="47" t="s">
        <v>149</v>
      </c>
      <c r="C21" s="47" t="s">
        <v>149</v>
      </c>
      <c r="D21" s="48" t="s">
        <v>150</v>
      </c>
      <c r="E21" s="54">
        <f>9625432.43/10000</f>
        <v>962.543243</v>
      </c>
      <c r="F21" s="54">
        <f>9625432.43/10000</f>
        <v>962.543243</v>
      </c>
      <c r="G21" s="54">
        <v>0</v>
      </c>
      <c r="H21" s="54">
        <v>0</v>
      </c>
      <c r="I21" s="54">
        <v>0</v>
      </c>
      <c r="J21" s="54">
        <v>0</v>
      </c>
    </row>
    <row r="22" spans="1:10" ht="15" customHeight="1">
      <c r="A22" s="46" t="s">
        <v>216</v>
      </c>
      <c r="B22" s="47" t="s">
        <v>216</v>
      </c>
      <c r="C22" s="47" t="s">
        <v>216</v>
      </c>
      <c r="D22" s="48" t="s">
        <v>217</v>
      </c>
      <c r="E22" s="54">
        <f>910600/10000</f>
        <v>91.06</v>
      </c>
      <c r="F22" s="54">
        <f>910600/10000</f>
        <v>91.06</v>
      </c>
      <c r="G22" s="54">
        <v>0</v>
      </c>
      <c r="H22" s="54">
        <v>0</v>
      </c>
      <c r="I22" s="54">
        <v>0</v>
      </c>
      <c r="J22" s="54">
        <v>0</v>
      </c>
    </row>
    <row r="23" spans="1:10" ht="15" customHeight="1">
      <c r="A23" s="46" t="s">
        <v>151</v>
      </c>
      <c r="B23" s="47" t="s">
        <v>151</v>
      </c>
      <c r="C23" s="47" t="s">
        <v>151</v>
      </c>
      <c r="D23" s="48" t="s">
        <v>152</v>
      </c>
      <c r="E23" s="54">
        <f>8586475.51/10000</f>
        <v>858.647551</v>
      </c>
      <c r="F23" s="54">
        <f>8586475.51/10000</f>
        <v>858.647551</v>
      </c>
      <c r="G23" s="54">
        <v>0</v>
      </c>
      <c r="H23" s="54">
        <v>0</v>
      </c>
      <c r="I23" s="54">
        <v>0</v>
      </c>
      <c r="J23" s="54">
        <v>0</v>
      </c>
    </row>
    <row r="24" spans="1:10" ht="15" customHeight="1">
      <c r="A24" s="46" t="s">
        <v>155</v>
      </c>
      <c r="B24" s="47" t="s">
        <v>155</v>
      </c>
      <c r="C24" s="47" t="s">
        <v>155</v>
      </c>
      <c r="D24" s="48" t="s">
        <v>156</v>
      </c>
      <c r="E24" s="54">
        <f>128356.92/10000</f>
        <v>12.835692</v>
      </c>
      <c r="F24" s="54">
        <f>128356.92/10000</f>
        <v>12.835692</v>
      </c>
      <c r="G24" s="54">
        <v>0</v>
      </c>
      <c r="H24" s="54">
        <v>0</v>
      </c>
      <c r="I24" s="54">
        <v>0</v>
      </c>
      <c r="J24" s="54">
        <v>0</v>
      </c>
    </row>
    <row r="25" spans="1:10" ht="15" customHeight="1">
      <c r="A25" s="46" t="s">
        <v>157</v>
      </c>
      <c r="B25" s="47" t="s">
        <v>157</v>
      </c>
      <c r="C25" s="47" t="s">
        <v>157</v>
      </c>
      <c r="D25" s="48" t="s">
        <v>158</v>
      </c>
      <c r="E25" s="54">
        <f>50000/10000</f>
        <v>5</v>
      </c>
      <c r="F25" s="54">
        <f>50000/10000</f>
        <v>5</v>
      </c>
      <c r="G25" s="54">
        <v>0</v>
      </c>
      <c r="H25" s="54">
        <v>0</v>
      </c>
      <c r="I25" s="54">
        <v>0</v>
      </c>
      <c r="J25" s="54">
        <v>0</v>
      </c>
    </row>
    <row r="26" spans="1:10" ht="15" customHeight="1">
      <c r="A26" s="46" t="s">
        <v>159</v>
      </c>
      <c r="B26" s="47" t="s">
        <v>159</v>
      </c>
      <c r="C26" s="47" t="s">
        <v>159</v>
      </c>
      <c r="D26" s="48" t="s">
        <v>160</v>
      </c>
      <c r="E26" s="54">
        <f>50000/10000</f>
        <v>5</v>
      </c>
      <c r="F26" s="54">
        <f>50000/10000</f>
        <v>5</v>
      </c>
      <c r="G26" s="54">
        <v>0</v>
      </c>
      <c r="H26" s="54">
        <v>0</v>
      </c>
      <c r="I26" s="54">
        <v>0</v>
      </c>
      <c r="J26" s="54">
        <v>0</v>
      </c>
    </row>
    <row r="27" spans="1:10" ht="15" customHeight="1">
      <c r="A27" s="46" t="s">
        <v>161</v>
      </c>
      <c r="B27" s="47" t="s">
        <v>161</v>
      </c>
      <c r="C27" s="47" t="s">
        <v>161</v>
      </c>
      <c r="D27" s="48" t="s">
        <v>162</v>
      </c>
      <c r="E27" s="54">
        <f>10222475.34/10000</f>
        <v>1022.247534</v>
      </c>
      <c r="F27" s="54">
        <f>4004701.11/10000</f>
        <v>400.470111</v>
      </c>
      <c r="G27" s="54">
        <f>6217774.23/10000</f>
        <v>621.777423</v>
      </c>
      <c r="H27" s="54">
        <v>0</v>
      </c>
      <c r="I27" s="54">
        <v>0</v>
      </c>
      <c r="J27" s="54">
        <v>0</v>
      </c>
    </row>
    <row r="28" spans="1:10" ht="15" customHeight="1">
      <c r="A28" s="46" t="s">
        <v>163</v>
      </c>
      <c r="B28" s="47" t="s">
        <v>163</v>
      </c>
      <c r="C28" s="47" t="s">
        <v>163</v>
      </c>
      <c r="D28" s="48" t="s">
        <v>134</v>
      </c>
      <c r="E28" s="54">
        <f>2006286.7/10000</f>
        <v>200.62867</v>
      </c>
      <c r="F28" s="54">
        <f>2006286.7/10000</f>
        <v>200.62867</v>
      </c>
      <c r="G28" s="54">
        <v>0</v>
      </c>
      <c r="H28" s="54">
        <v>0</v>
      </c>
      <c r="I28" s="54">
        <v>0</v>
      </c>
      <c r="J28" s="54">
        <v>0</v>
      </c>
    </row>
    <row r="29" spans="1:10" ht="15" customHeight="1">
      <c r="A29" s="46" t="s">
        <v>164</v>
      </c>
      <c r="B29" s="47" t="s">
        <v>164</v>
      </c>
      <c r="C29" s="47" t="s">
        <v>164</v>
      </c>
      <c r="D29" s="48" t="s">
        <v>165</v>
      </c>
      <c r="E29" s="54">
        <f>1187612.24/10000</f>
        <v>118.761224</v>
      </c>
      <c r="F29" s="54">
        <f>90000/10000</f>
        <v>9</v>
      </c>
      <c r="G29" s="54">
        <f>1097612.24/10000</f>
        <v>109.761224</v>
      </c>
      <c r="H29" s="54">
        <v>0</v>
      </c>
      <c r="I29" s="54">
        <v>0</v>
      </c>
      <c r="J29" s="54">
        <v>0</v>
      </c>
    </row>
    <row r="30" spans="1:10" ht="15" customHeight="1">
      <c r="A30" s="46" t="s">
        <v>166</v>
      </c>
      <c r="B30" s="47" t="s">
        <v>166</v>
      </c>
      <c r="C30" s="47" t="s">
        <v>166</v>
      </c>
      <c r="D30" s="48" t="s">
        <v>167</v>
      </c>
      <c r="E30" s="54">
        <f>4698661.99/10000</f>
        <v>469.866199</v>
      </c>
      <c r="F30" s="54">
        <v>0</v>
      </c>
      <c r="G30" s="54">
        <f>4698661.99/10000</f>
        <v>469.866199</v>
      </c>
      <c r="H30" s="54">
        <v>0</v>
      </c>
      <c r="I30" s="54">
        <v>0</v>
      </c>
      <c r="J30" s="54">
        <v>0</v>
      </c>
    </row>
    <row r="31" spans="1:10" ht="15" customHeight="1">
      <c r="A31" s="46" t="s">
        <v>168</v>
      </c>
      <c r="B31" s="47" t="s">
        <v>168</v>
      </c>
      <c r="C31" s="47" t="s">
        <v>168</v>
      </c>
      <c r="D31" s="48" t="s">
        <v>169</v>
      </c>
      <c r="E31" s="54">
        <f>579276/10000</f>
        <v>57.9276</v>
      </c>
      <c r="F31" s="54">
        <f>157776/10000</f>
        <v>15.7776</v>
      </c>
      <c r="G31" s="54">
        <f>421500/10000</f>
        <v>42.15</v>
      </c>
      <c r="H31" s="54">
        <v>0</v>
      </c>
      <c r="I31" s="54">
        <v>0</v>
      </c>
      <c r="J31" s="54">
        <v>0</v>
      </c>
    </row>
    <row r="32" spans="1:10" ht="15" customHeight="1">
      <c r="A32" s="46" t="s">
        <v>170</v>
      </c>
      <c r="B32" s="47" t="s">
        <v>170</v>
      </c>
      <c r="C32" s="47" t="s">
        <v>170</v>
      </c>
      <c r="D32" s="48" t="s">
        <v>171</v>
      </c>
      <c r="E32" s="54">
        <f>1659341.41/10000</f>
        <v>165.93414099999998</v>
      </c>
      <c r="F32" s="54">
        <f>1659341.41/10000</f>
        <v>165.93414099999998</v>
      </c>
      <c r="G32" s="54">
        <v>0</v>
      </c>
      <c r="H32" s="54">
        <v>0</v>
      </c>
      <c r="I32" s="54">
        <v>0</v>
      </c>
      <c r="J32" s="54">
        <v>0</v>
      </c>
    </row>
    <row r="33" spans="1:10" ht="15" customHeight="1">
      <c r="A33" s="46" t="s">
        <v>172</v>
      </c>
      <c r="B33" s="47" t="s">
        <v>172</v>
      </c>
      <c r="C33" s="47" t="s">
        <v>172</v>
      </c>
      <c r="D33" s="48" t="s">
        <v>173</v>
      </c>
      <c r="E33" s="54">
        <f>91297/10000</f>
        <v>9.1297</v>
      </c>
      <c r="F33" s="54">
        <f>91297/10000</f>
        <v>9.1297</v>
      </c>
      <c r="G33" s="54">
        <v>0</v>
      </c>
      <c r="H33" s="54">
        <v>0</v>
      </c>
      <c r="I33" s="54">
        <v>0</v>
      </c>
      <c r="J33" s="54">
        <v>0</v>
      </c>
    </row>
    <row r="34" spans="1:10" ht="15" customHeight="1">
      <c r="A34" s="46" t="s">
        <v>174</v>
      </c>
      <c r="B34" s="47" t="s">
        <v>174</v>
      </c>
      <c r="C34" s="47" t="s">
        <v>174</v>
      </c>
      <c r="D34" s="48" t="s">
        <v>175</v>
      </c>
      <c r="E34" s="54">
        <f>928760.67/10000</f>
        <v>92.876067</v>
      </c>
      <c r="F34" s="54">
        <f>628760.67/10000</f>
        <v>62.876067000000006</v>
      </c>
      <c r="G34" s="54">
        <f>300000/10000</f>
        <v>30</v>
      </c>
      <c r="H34" s="54">
        <v>0</v>
      </c>
      <c r="I34" s="54">
        <v>0</v>
      </c>
      <c r="J34" s="54">
        <v>0</v>
      </c>
    </row>
    <row r="35" spans="1:10" ht="15" customHeight="1">
      <c r="A35" s="46" t="s">
        <v>176</v>
      </c>
      <c r="B35" s="47" t="s">
        <v>176</v>
      </c>
      <c r="C35" s="47" t="s">
        <v>176</v>
      </c>
      <c r="D35" s="48" t="s">
        <v>177</v>
      </c>
      <c r="E35" s="54">
        <f>928760.67/10000</f>
        <v>92.876067</v>
      </c>
      <c r="F35" s="54">
        <f>628760.67/10000</f>
        <v>62.876067000000006</v>
      </c>
      <c r="G35" s="54">
        <f>300000/10000</f>
        <v>30</v>
      </c>
      <c r="H35" s="54">
        <v>0</v>
      </c>
      <c r="I35" s="54">
        <v>0</v>
      </c>
      <c r="J35" s="54">
        <v>0</v>
      </c>
    </row>
    <row r="36" spans="1:10" ht="15" customHeight="1">
      <c r="A36" s="46" t="s">
        <v>178</v>
      </c>
      <c r="B36" s="47" t="s">
        <v>178</v>
      </c>
      <c r="C36" s="47" t="s">
        <v>178</v>
      </c>
      <c r="D36" s="48" t="s">
        <v>179</v>
      </c>
      <c r="E36" s="54">
        <f>1052262.76/10000</f>
        <v>105.226276</v>
      </c>
      <c r="F36" s="54">
        <f>989387.15/10000</f>
        <v>98.938715</v>
      </c>
      <c r="G36" s="54">
        <f>62875.61/10000</f>
        <v>6.287561</v>
      </c>
      <c r="H36" s="54">
        <v>0</v>
      </c>
      <c r="I36" s="54">
        <v>0</v>
      </c>
      <c r="J36" s="54">
        <v>0</v>
      </c>
    </row>
    <row r="37" spans="1:10" ht="15" customHeight="1">
      <c r="A37" s="46" t="s">
        <v>180</v>
      </c>
      <c r="B37" s="47" t="s">
        <v>180</v>
      </c>
      <c r="C37" s="47" t="s">
        <v>180</v>
      </c>
      <c r="D37" s="48" t="s">
        <v>181</v>
      </c>
      <c r="E37" s="54">
        <f>989387.15/10000</f>
        <v>98.938715</v>
      </c>
      <c r="F37" s="54">
        <f>989387.15/10000</f>
        <v>98.938715</v>
      </c>
      <c r="G37" s="54">
        <v>0</v>
      </c>
      <c r="H37" s="54">
        <v>0</v>
      </c>
      <c r="I37" s="54">
        <v>0</v>
      </c>
      <c r="J37" s="54">
        <v>0</v>
      </c>
    </row>
    <row r="38" spans="1:10" ht="15" customHeight="1">
      <c r="A38" s="46" t="s">
        <v>182</v>
      </c>
      <c r="B38" s="47" t="s">
        <v>182</v>
      </c>
      <c r="C38" s="47" t="s">
        <v>182</v>
      </c>
      <c r="D38" s="48" t="s">
        <v>183</v>
      </c>
      <c r="E38" s="54">
        <f>173734/10000</f>
        <v>17.3734</v>
      </c>
      <c r="F38" s="54">
        <f>173734/10000</f>
        <v>17.3734</v>
      </c>
      <c r="G38" s="54">
        <v>0</v>
      </c>
      <c r="H38" s="54">
        <v>0</v>
      </c>
      <c r="I38" s="54">
        <v>0</v>
      </c>
      <c r="J38" s="54">
        <v>0</v>
      </c>
    </row>
    <row r="39" spans="1:10" ht="15" customHeight="1">
      <c r="A39" s="46" t="s">
        <v>184</v>
      </c>
      <c r="B39" s="47" t="s">
        <v>184</v>
      </c>
      <c r="C39" s="47" t="s">
        <v>184</v>
      </c>
      <c r="D39" s="48" t="s">
        <v>185</v>
      </c>
      <c r="E39" s="54">
        <f>792753.15/10000</f>
        <v>79.275315</v>
      </c>
      <c r="F39" s="54">
        <f>792753.15/10000</f>
        <v>79.275315</v>
      </c>
      <c r="G39" s="54">
        <v>0</v>
      </c>
      <c r="H39" s="54">
        <v>0</v>
      </c>
      <c r="I39" s="54">
        <v>0</v>
      </c>
      <c r="J39" s="54">
        <v>0</v>
      </c>
    </row>
    <row r="40" spans="1:10" ht="15" customHeight="1">
      <c r="A40" s="46" t="s">
        <v>186</v>
      </c>
      <c r="B40" s="47" t="s">
        <v>186</v>
      </c>
      <c r="C40" s="47" t="s">
        <v>186</v>
      </c>
      <c r="D40" s="48" t="s">
        <v>187</v>
      </c>
      <c r="E40" s="54">
        <f>22900/10000</f>
        <v>2.29</v>
      </c>
      <c r="F40" s="54">
        <f>22900/10000</f>
        <v>2.29</v>
      </c>
      <c r="G40" s="54">
        <v>0</v>
      </c>
      <c r="H40" s="54">
        <v>0</v>
      </c>
      <c r="I40" s="54">
        <v>0</v>
      </c>
      <c r="J40" s="54">
        <v>0</v>
      </c>
    </row>
    <row r="41" spans="1:10" ht="15" customHeight="1">
      <c r="A41" s="46" t="s">
        <v>188</v>
      </c>
      <c r="B41" s="47" t="s">
        <v>188</v>
      </c>
      <c r="C41" s="47" t="s">
        <v>188</v>
      </c>
      <c r="D41" s="48" t="s">
        <v>189</v>
      </c>
      <c r="E41" s="54">
        <f>62875.61/10000</f>
        <v>6.287561</v>
      </c>
      <c r="F41" s="54">
        <v>0</v>
      </c>
      <c r="G41" s="54">
        <f>62875.61/10000</f>
        <v>6.287561</v>
      </c>
      <c r="H41" s="54">
        <v>0</v>
      </c>
      <c r="I41" s="54">
        <v>0</v>
      </c>
      <c r="J41" s="54">
        <v>0</v>
      </c>
    </row>
    <row r="42" spans="1:10" ht="15" customHeight="1">
      <c r="A42" s="46" t="s">
        <v>190</v>
      </c>
      <c r="B42" s="47" t="s">
        <v>190</v>
      </c>
      <c r="C42" s="47" t="s">
        <v>190</v>
      </c>
      <c r="D42" s="48" t="s">
        <v>191</v>
      </c>
      <c r="E42" s="54">
        <f>62875.61/10000</f>
        <v>6.287561</v>
      </c>
      <c r="F42" s="54">
        <v>0</v>
      </c>
      <c r="G42" s="54">
        <f>62875.61/10000</f>
        <v>6.287561</v>
      </c>
      <c r="H42" s="54">
        <v>0</v>
      </c>
      <c r="I42" s="54">
        <v>0</v>
      </c>
      <c r="J42" s="54">
        <v>0</v>
      </c>
    </row>
    <row r="43" spans="1:10" ht="15" customHeight="1">
      <c r="A43" s="46" t="s">
        <v>192</v>
      </c>
      <c r="B43" s="47" t="s">
        <v>192</v>
      </c>
      <c r="C43" s="47" t="s">
        <v>192</v>
      </c>
      <c r="D43" s="48" t="s">
        <v>193</v>
      </c>
      <c r="E43" s="54">
        <f>278558.28/10000</f>
        <v>27.855828000000002</v>
      </c>
      <c r="F43" s="54">
        <f>278558.28/10000</f>
        <v>27.855828000000002</v>
      </c>
      <c r="G43" s="54">
        <v>0</v>
      </c>
      <c r="H43" s="54">
        <v>0</v>
      </c>
      <c r="I43" s="54">
        <v>0</v>
      </c>
      <c r="J43" s="54">
        <v>0</v>
      </c>
    </row>
    <row r="44" spans="1:10" ht="15" customHeight="1">
      <c r="A44" s="46" t="s">
        <v>194</v>
      </c>
      <c r="B44" s="47" t="s">
        <v>194</v>
      </c>
      <c r="C44" s="47" t="s">
        <v>194</v>
      </c>
      <c r="D44" s="48" t="s">
        <v>195</v>
      </c>
      <c r="E44" s="54">
        <f>278558.28/10000</f>
        <v>27.855828000000002</v>
      </c>
      <c r="F44" s="54">
        <f>278558.28/10000</f>
        <v>27.855828000000002</v>
      </c>
      <c r="G44" s="54">
        <v>0</v>
      </c>
      <c r="H44" s="54">
        <v>0</v>
      </c>
      <c r="I44" s="54">
        <v>0</v>
      </c>
      <c r="J44" s="54">
        <v>0</v>
      </c>
    </row>
    <row r="45" spans="1:10" ht="15" customHeight="1">
      <c r="A45" s="46" t="s">
        <v>196</v>
      </c>
      <c r="B45" s="47" t="s">
        <v>196</v>
      </c>
      <c r="C45" s="47" t="s">
        <v>196</v>
      </c>
      <c r="D45" s="48" t="s">
        <v>197</v>
      </c>
      <c r="E45" s="54">
        <f>278558.28/10000</f>
        <v>27.855828000000002</v>
      </c>
      <c r="F45" s="54">
        <f>278558.28/10000</f>
        <v>27.855828000000002</v>
      </c>
      <c r="G45" s="54">
        <v>0</v>
      </c>
      <c r="H45" s="54">
        <v>0</v>
      </c>
      <c r="I45" s="54">
        <v>0</v>
      </c>
      <c r="J45" s="54">
        <v>0</v>
      </c>
    </row>
    <row r="46" spans="1:10" ht="15" customHeight="1">
      <c r="A46" s="49" t="s">
        <v>198</v>
      </c>
      <c r="B46" s="50" t="s">
        <v>198</v>
      </c>
      <c r="C46" s="50" t="s">
        <v>198</v>
      </c>
      <c r="D46" s="51" t="s">
        <v>199</v>
      </c>
      <c r="E46" s="55">
        <f>502608.01/10000</f>
        <v>50.260801</v>
      </c>
      <c r="F46" s="55">
        <f>502608.01/10000</f>
        <v>50.260801</v>
      </c>
      <c r="G46" s="55">
        <v>0</v>
      </c>
      <c r="H46" s="55">
        <v>0</v>
      </c>
      <c r="I46" s="55">
        <v>0</v>
      </c>
      <c r="J46" s="55">
        <v>0</v>
      </c>
    </row>
    <row r="47" spans="1:10" ht="15" customHeight="1">
      <c r="A47" s="19" t="s">
        <v>200</v>
      </c>
      <c r="B47" s="20" t="s">
        <v>200</v>
      </c>
      <c r="C47" s="20" t="s">
        <v>200</v>
      </c>
      <c r="D47" s="19" t="s">
        <v>201</v>
      </c>
      <c r="E47" s="25">
        <f>502608.01/10000</f>
        <v>50.260801</v>
      </c>
      <c r="F47" s="25">
        <f>502608.01/10000</f>
        <v>50.260801</v>
      </c>
      <c r="G47" s="25">
        <v>0</v>
      </c>
      <c r="H47" s="25">
        <v>0</v>
      </c>
      <c r="I47" s="25">
        <v>0</v>
      </c>
      <c r="J47" s="25">
        <v>0</v>
      </c>
    </row>
    <row r="48" spans="1:10" ht="15" customHeight="1">
      <c r="A48" s="19" t="s">
        <v>202</v>
      </c>
      <c r="B48" s="20" t="s">
        <v>202</v>
      </c>
      <c r="C48" s="20" t="s">
        <v>202</v>
      </c>
      <c r="D48" s="19" t="s">
        <v>203</v>
      </c>
      <c r="E48" s="25">
        <f>502608.01/10000</f>
        <v>50.260801</v>
      </c>
      <c r="F48" s="25">
        <f>502608.01/10000</f>
        <v>50.260801</v>
      </c>
      <c r="G48" s="25">
        <v>0</v>
      </c>
      <c r="H48" s="25">
        <v>0</v>
      </c>
      <c r="I48" s="25">
        <v>0</v>
      </c>
      <c r="J48" s="25">
        <v>0</v>
      </c>
    </row>
    <row r="49" spans="1:10" ht="15" customHeight="1">
      <c r="A49" s="81" t="s">
        <v>218</v>
      </c>
      <c r="B49" s="82" t="s">
        <v>218</v>
      </c>
      <c r="C49" s="82" t="s">
        <v>218</v>
      </c>
      <c r="D49" s="82" t="s">
        <v>218</v>
      </c>
      <c r="E49" s="82" t="s">
        <v>218</v>
      </c>
      <c r="F49" s="82" t="s">
        <v>218</v>
      </c>
      <c r="G49" s="82" t="s">
        <v>218</v>
      </c>
      <c r="H49" s="82" t="s">
        <v>218</v>
      </c>
      <c r="I49" s="82" t="s">
        <v>218</v>
      </c>
      <c r="J49" s="82" t="s">
        <v>218</v>
      </c>
    </row>
  </sheetData>
  <sheetProtection/>
  <mergeCells count="5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J49"/>
    <mergeCell ref="A8:A9"/>
    <mergeCell ref="B8:B9"/>
    <mergeCell ref="C8:C9"/>
    <mergeCell ref="D5:D7"/>
    <mergeCell ref="E4:E7"/>
    <mergeCell ref="F4:F7"/>
    <mergeCell ref="G4:G7"/>
    <mergeCell ref="H4:H7"/>
    <mergeCell ref="I4:I7"/>
    <mergeCell ref="J4:J7"/>
    <mergeCell ref="A5:C7"/>
  </mergeCells>
  <printOptions/>
  <pageMargins left="0.9444444444444444" right="0.75" top="0.5902777777777778" bottom="0.5118055555555555" header="0.5" footer="0.5"/>
  <pageSetup fitToHeight="1" fitToWidth="1" horizontalDpi="300" verticalDpi="300" orientation="landscape" scale="73"/>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9"/>
  <sheetViews>
    <sheetView workbookViewId="0" topLeftCell="A1">
      <selection activeCell="R9" sqref="R9"/>
    </sheetView>
  </sheetViews>
  <sheetFormatPr defaultColWidth="9.140625" defaultRowHeight="12.75"/>
  <cols>
    <col min="1" max="1" width="29.140625" style="0" customWidth="1"/>
    <col min="2" max="2" width="5.140625" style="0" customWidth="1"/>
    <col min="3" max="3" width="17.140625" style="0" customWidth="1"/>
    <col min="4" max="4" width="33.00390625" style="0" customWidth="1"/>
    <col min="5" max="5" width="5.140625" style="0" customWidth="1"/>
    <col min="6" max="8" width="17.140625" style="0" customWidth="1"/>
  </cols>
  <sheetData>
    <row r="1" spans="1:8" ht="27.75" customHeight="1">
      <c r="A1" s="11"/>
      <c r="B1" s="28"/>
      <c r="C1" s="28"/>
      <c r="D1" s="37" t="s">
        <v>219</v>
      </c>
      <c r="E1" s="28"/>
      <c r="F1" s="28"/>
      <c r="G1" s="28"/>
      <c r="H1" s="28"/>
    </row>
    <row r="2" spans="1:8" ht="15" customHeight="1">
      <c r="A2" s="3"/>
      <c r="B2" s="4"/>
      <c r="C2" s="4"/>
      <c r="D2" s="4"/>
      <c r="E2" s="4"/>
      <c r="F2" s="4"/>
      <c r="G2" s="4"/>
      <c r="H2" s="5" t="s">
        <v>1</v>
      </c>
    </row>
    <row r="3" spans="1:8" ht="15" customHeight="1">
      <c r="A3" s="56" t="s">
        <v>2</v>
      </c>
      <c r="B3" s="57"/>
      <c r="C3" s="57"/>
      <c r="D3" s="38" t="s">
        <v>3</v>
      </c>
      <c r="E3" s="30"/>
      <c r="F3" s="30"/>
      <c r="G3" s="30"/>
      <c r="H3" s="5" t="s">
        <v>220</v>
      </c>
    </row>
    <row r="4" spans="1:8" ht="15" customHeight="1">
      <c r="A4" s="58" t="s">
        <v>5</v>
      </c>
      <c r="B4" s="59" t="s">
        <v>5</v>
      </c>
      <c r="C4" s="60" t="s">
        <v>5</v>
      </c>
      <c r="D4" s="9" t="s">
        <v>6</v>
      </c>
      <c r="E4" s="16" t="s">
        <v>6</v>
      </c>
      <c r="F4" s="16" t="s">
        <v>6</v>
      </c>
      <c r="G4" s="16" t="s">
        <v>6</v>
      </c>
      <c r="H4" s="16" t="s">
        <v>6</v>
      </c>
    </row>
    <row r="5" spans="1:8" ht="15" customHeight="1">
      <c r="A5" s="58" t="s">
        <v>7</v>
      </c>
      <c r="B5" s="61" t="s">
        <v>8</v>
      </c>
      <c r="C5" s="61" t="s">
        <v>9</v>
      </c>
      <c r="D5" s="61" t="s">
        <v>10</v>
      </c>
      <c r="E5" s="61" t="s">
        <v>8</v>
      </c>
      <c r="F5" s="61" t="s">
        <v>9</v>
      </c>
      <c r="G5" s="59" t="s">
        <v>9</v>
      </c>
      <c r="H5" s="59" t="s">
        <v>9</v>
      </c>
    </row>
    <row r="6" spans="1:8" ht="28.5" customHeight="1">
      <c r="A6" s="62" t="s">
        <v>7</v>
      </c>
      <c r="B6" s="59" t="s">
        <v>8</v>
      </c>
      <c r="C6" s="59" t="s">
        <v>9</v>
      </c>
      <c r="D6" s="59" t="s">
        <v>10</v>
      </c>
      <c r="E6" s="59" t="s">
        <v>8</v>
      </c>
      <c r="F6" s="76" t="s">
        <v>122</v>
      </c>
      <c r="G6" s="76" t="s">
        <v>221</v>
      </c>
      <c r="H6" s="76" t="s">
        <v>222</v>
      </c>
    </row>
    <row r="7" spans="1:8" ht="15" customHeight="1">
      <c r="A7" s="58" t="s">
        <v>11</v>
      </c>
      <c r="B7" s="61"/>
      <c r="C7" s="61" t="s">
        <v>12</v>
      </c>
      <c r="D7" s="61" t="s">
        <v>11</v>
      </c>
      <c r="E7" s="61"/>
      <c r="F7" s="68" t="s">
        <v>46</v>
      </c>
      <c r="G7" s="68" t="s">
        <v>49</v>
      </c>
      <c r="H7" s="68" t="s">
        <v>52</v>
      </c>
    </row>
    <row r="8" spans="1:8" ht="15" customHeight="1">
      <c r="A8" s="63" t="s">
        <v>223</v>
      </c>
      <c r="B8" s="61" t="s">
        <v>15</v>
      </c>
      <c r="C8" s="54">
        <f>37412000.55/10000</f>
        <v>3741.200055</v>
      </c>
      <c r="D8" s="64" t="s">
        <v>16</v>
      </c>
      <c r="E8" s="77" t="s">
        <v>17</v>
      </c>
      <c r="F8" s="25">
        <v>0</v>
      </c>
      <c r="G8" s="25">
        <v>0</v>
      </c>
      <c r="H8" s="25">
        <v>0</v>
      </c>
    </row>
    <row r="9" spans="1:8" ht="15" customHeight="1">
      <c r="A9" s="63" t="s">
        <v>224</v>
      </c>
      <c r="B9" s="61" t="s">
        <v>19</v>
      </c>
      <c r="C9" s="54">
        <f>800000/10000</f>
        <v>80</v>
      </c>
      <c r="D9" s="64" t="s">
        <v>20</v>
      </c>
      <c r="E9" s="77" t="s">
        <v>21</v>
      </c>
      <c r="F9" s="25">
        <v>0</v>
      </c>
      <c r="G9" s="25">
        <v>0</v>
      </c>
      <c r="H9" s="25">
        <v>0</v>
      </c>
    </row>
    <row r="10" spans="1:8" ht="15" customHeight="1">
      <c r="A10" s="63"/>
      <c r="B10" s="61" t="s">
        <v>12</v>
      </c>
      <c r="C10" s="64"/>
      <c r="D10" s="64" t="s">
        <v>23</v>
      </c>
      <c r="E10" s="77" t="s">
        <v>24</v>
      </c>
      <c r="F10" s="25">
        <v>0</v>
      </c>
      <c r="G10" s="25">
        <v>0</v>
      </c>
      <c r="H10" s="25">
        <v>0</v>
      </c>
    </row>
    <row r="11" spans="1:8" ht="15" customHeight="1">
      <c r="A11" s="63"/>
      <c r="B11" s="61" t="s">
        <v>26</v>
      </c>
      <c r="C11" s="64"/>
      <c r="D11" s="64" t="s">
        <v>27</v>
      </c>
      <c r="E11" s="77" t="s">
        <v>28</v>
      </c>
      <c r="F11" s="25">
        <v>0</v>
      </c>
      <c r="G11" s="25">
        <v>0</v>
      </c>
      <c r="H11" s="25">
        <v>0</v>
      </c>
    </row>
    <row r="12" spans="1:8" ht="15" customHeight="1">
      <c r="A12" s="63"/>
      <c r="B12" s="61" t="s">
        <v>30</v>
      </c>
      <c r="C12" s="64"/>
      <c r="D12" s="64" t="s">
        <v>31</v>
      </c>
      <c r="E12" s="77" t="s">
        <v>32</v>
      </c>
      <c r="F12" s="25">
        <v>0</v>
      </c>
      <c r="G12" s="25">
        <v>0</v>
      </c>
      <c r="H12" s="25">
        <v>0</v>
      </c>
    </row>
    <row r="13" spans="1:8" ht="15" customHeight="1">
      <c r="A13" s="63"/>
      <c r="B13" s="61" t="s">
        <v>13</v>
      </c>
      <c r="C13" s="64"/>
      <c r="D13" s="64" t="s">
        <v>34</v>
      </c>
      <c r="E13" s="77" t="s">
        <v>35</v>
      </c>
      <c r="F13" s="25">
        <v>0</v>
      </c>
      <c r="G13" s="25">
        <v>0</v>
      </c>
      <c r="H13" s="25">
        <v>0</v>
      </c>
    </row>
    <row r="14" spans="1:8" ht="15" customHeight="1">
      <c r="A14" s="63"/>
      <c r="B14" s="61" t="s">
        <v>37</v>
      </c>
      <c r="C14" s="64"/>
      <c r="D14" s="64" t="s">
        <v>38</v>
      </c>
      <c r="E14" s="77" t="s">
        <v>39</v>
      </c>
      <c r="F14" s="25">
        <v>0</v>
      </c>
      <c r="G14" s="25">
        <v>0</v>
      </c>
      <c r="H14" s="25">
        <v>0</v>
      </c>
    </row>
    <row r="15" spans="1:8" ht="15" customHeight="1">
      <c r="A15" s="63"/>
      <c r="B15" s="61" t="s">
        <v>40</v>
      </c>
      <c r="C15" s="64"/>
      <c r="D15" s="64" t="s">
        <v>41</v>
      </c>
      <c r="E15" s="77" t="s">
        <v>42</v>
      </c>
      <c r="F15" s="25">
        <f>31445122.4/10000</f>
        <v>3144.51224</v>
      </c>
      <c r="G15" s="25">
        <f>31445122.4/10000</f>
        <v>3144.51224</v>
      </c>
      <c r="H15" s="25">
        <v>0</v>
      </c>
    </row>
    <row r="16" spans="1:8" ht="15" customHeight="1">
      <c r="A16" s="63"/>
      <c r="B16" s="61" t="s">
        <v>43</v>
      </c>
      <c r="C16" s="64"/>
      <c r="D16" s="64" t="s">
        <v>44</v>
      </c>
      <c r="E16" s="77" t="s">
        <v>45</v>
      </c>
      <c r="F16" s="25">
        <f>1052262.76/10000</f>
        <v>105.226276</v>
      </c>
      <c r="G16" s="25">
        <f>1052262.76/10000</f>
        <v>105.226276</v>
      </c>
      <c r="H16" s="25">
        <v>0</v>
      </c>
    </row>
    <row r="17" spans="1:8" ht="15" customHeight="1">
      <c r="A17" s="63"/>
      <c r="B17" s="61" t="s">
        <v>46</v>
      </c>
      <c r="C17" s="64"/>
      <c r="D17" s="64" t="s">
        <v>47</v>
      </c>
      <c r="E17" s="77" t="s">
        <v>48</v>
      </c>
      <c r="F17" s="25">
        <v>0</v>
      </c>
      <c r="G17" s="25">
        <v>0</v>
      </c>
      <c r="H17" s="25">
        <v>0</v>
      </c>
    </row>
    <row r="18" spans="1:8" ht="15" customHeight="1">
      <c r="A18" s="63"/>
      <c r="B18" s="61" t="s">
        <v>49</v>
      </c>
      <c r="C18" s="64"/>
      <c r="D18" s="64" t="s">
        <v>50</v>
      </c>
      <c r="E18" s="77" t="s">
        <v>51</v>
      </c>
      <c r="F18" s="25">
        <v>0</v>
      </c>
      <c r="G18" s="25">
        <v>0</v>
      </c>
      <c r="H18" s="25">
        <v>0</v>
      </c>
    </row>
    <row r="19" spans="1:8" ht="15" customHeight="1">
      <c r="A19" s="63"/>
      <c r="B19" s="61" t="s">
        <v>52</v>
      </c>
      <c r="C19" s="64"/>
      <c r="D19" s="64" t="s">
        <v>53</v>
      </c>
      <c r="E19" s="77" t="s">
        <v>54</v>
      </c>
      <c r="F19" s="25">
        <v>0</v>
      </c>
      <c r="G19" s="25">
        <v>0</v>
      </c>
      <c r="H19" s="25">
        <v>0</v>
      </c>
    </row>
    <row r="20" spans="1:8" ht="15" customHeight="1">
      <c r="A20" s="63"/>
      <c r="B20" s="61" t="s">
        <v>55</v>
      </c>
      <c r="C20" s="64"/>
      <c r="D20" s="64" t="s">
        <v>56</v>
      </c>
      <c r="E20" s="77" t="s">
        <v>57</v>
      </c>
      <c r="F20" s="25">
        <v>0</v>
      </c>
      <c r="G20" s="25">
        <v>0</v>
      </c>
      <c r="H20" s="25">
        <v>0</v>
      </c>
    </row>
    <row r="21" spans="1:8" ht="15" customHeight="1">
      <c r="A21" s="63"/>
      <c r="B21" s="61" t="s">
        <v>58</v>
      </c>
      <c r="C21" s="64"/>
      <c r="D21" s="64" t="s">
        <v>59</v>
      </c>
      <c r="E21" s="77" t="s">
        <v>60</v>
      </c>
      <c r="F21" s="25">
        <v>0</v>
      </c>
      <c r="G21" s="25">
        <v>0</v>
      </c>
      <c r="H21" s="25">
        <v>0</v>
      </c>
    </row>
    <row r="22" spans="1:8" ht="15" customHeight="1">
      <c r="A22" s="63"/>
      <c r="B22" s="61" t="s">
        <v>61</v>
      </c>
      <c r="C22" s="64"/>
      <c r="D22" s="64" t="s">
        <v>62</v>
      </c>
      <c r="E22" s="77" t="s">
        <v>63</v>
      </c>
      <c r="F22" s="25">
        <v>0</v>
      </c>
      <c r="G22" s="25">
        <v>0</v>
      </c>
      <c r="H22" s="25">
        <v>0</v>
      </c>
    </row>
    <row r="23" spans="1:8" ht="15" customHeight="1">
      <c r="A23" s="63"/>
      <c r="B23" s="61" t="s">
        <v>64</v>
      </c>
      <c r="C23" s="64"/>
      <c r="D23" s="64" t="s">
        <v>65</v>
      </c>
      <c r="E23" s="77" t="s">
        <v>66</v>
      </c>
      <c r="F23" s="25">
        <v>0</v>
      </c>
      <c r="G23" s="25">
        <v>0</v>
      </c>
      <c r="H23" s="25">
        <v>0</v>
      </c>
    </row>
    <row r="24" spans="1:8" ht="15" customHeight="1">
      <c r="A24" s="63"/>
      <c r="B24" s="61" t="s">
        <v>67</v>
      </c>
      <c r="C24" s="64"/>
      <c r="D24" s="64" t="s">
        <v>68</v>
      </c>
      <c r="E24" s="77" t="s">
        <v>69</v>
      </c>
      <c r="F24" s="25">
        <v>0</v>
      </c>
      <c r="G24" s="25">
        <v>0</v>
      </c>
      <c r="H24" s="25">
        <v>0</v>
      </c>
    </row>
    <row r="25" spans="1:8" ht="15" customHeight="1">
      <c r="A25" s="63"/>
      <c r="B25" s="61" t="s">
        <v>70</v>
      </c>
      <c r="C25" s="64"/>
      <c r="D25" s="64" t="s">
        <v>71</v>
      </c>
      <c r="E25" s="77" t="s">
        <v>72</v>
      </c>
      <c r="F25" s="25">
        <v>0</v>
      </c>
      <c r="G25" s="25">
        <v>0</v>
      </c>
      <c r="H25" s="25">
        <v>0</v>
      </c>
    </row>
    <row r="26" spans="1:8" ht="15" customHeight="1">
      <c r="A26" s="63"/>
      <c r="B26" s="61" t="s">
        <v>73</v>
      </c>
      <c r="C26" s="64"/>
      <c r="D26" s="64" t="s">
        <v>74</v>
      </c>
      <c r="E26" s="77" t="s">
        <v>75</v>
      </c>
      <c r="F26" s="25">
        <f>278558.28/10000</f>
        <v>27.855828000000002</v>
      </c>
      <c r="G26" s="25">
        <f>278558.28/10000</f>
        <v>27.855828000000002</v>
      </c>
      <c r="H26" s="25">
        <v>0</v>
      </c>
    </row>
    <row r="27" spans="1:8" ht="15" customHeight="1">
      <c r="A27" s="63"/>
      <c r="B27" s="61" t="s">
        <v>76</v>
      </c>
      <c r="C27" s="64"/>
      <c r="D27" s="64" t="s">
        <v>77</v>
      </c>
      <c r="E27" s="77" t="s">
        <v>78</v>
      </c>
      <c r="F27" s="25">
        <v>0</v>
      </c>
      <c r="G27" s="25">
        <v>0</v>
      </c>
      <c r="H27" s="25">
        <v>0</v>
      </c>
    </row>
    <row r="28" spans="1:8" ht="15" customHeight="1">
      <c r="A28" s="63"/>
      <c r="B28" s="61" t="s">
        <v>79</v>
      </c>
      <c r="C28" s="64"/>
      <c r="D28" s="64" t="s">
        <v>80</v>
      </c>
      <c r="E28" s="77" t="s">
        <v>81</v>
      </c>
      <c r="F28" s="25">
        <v>0</v>
      </c>
      <c r="G28" s="25">
        <v>0</v>
      </c>
      <c r="H28" s="25">
        <v>0</v>
      </c>
    </row>
    <row r="29" spans="1:8" ht="15" customHeight="1">
      <c r="A29" s="63"/>
      <c r="B29" s="61" t="s">
        <v>82</v>
      </c>
      <c r="C29" s="64"/>
      <c r="D29" s="64" t="s">
        <v>83</v>
      </c>
      <c r="E29" s="77" t="s">
        <v>84</v>
      </c>
      <c r="F29" s="25">
        <f>502608.01/10000</f>
        <v>50.260801</v>
      </c>
      <c r="G29" s="25">
        <v>0</v>
      </c>
      <c r="H29" s="25">
        <f>502608.01/10000</f>
        <v>50.260801</v>
      </c>
    </row>
    <row r="30" spans="1:8" ht="15" customHeight="1">
      <c r="A30" s="63"/>
      <c r="B30" s="61" t="s">
        <v>85</v>
      </c>
      <c r="C30" s="64"/>
      <c r="D30" s="64" t="s">
        <v>86</v>
      </c>
      <c r="E30" s="77" t="s">
        <v>87</v>
      </c>
      <c r="F30" s="25">
        <v>0</v>
      </c>
      <c r="G30" s="25">
        <v>0</v>
      </c>
      <c r="H30" s="25">
        <v>0</v>
      </c>
    </row>
    <row r="31" spans="1:8" ht="15" customHeight="1">
      <c r="A31" s="63"/>
      <c r="B31" s="61" t="s">
        <v>88</v>
      </c>
      <c r="C31" s="64"/>
      <c r="D31" s="64" t="s">
        <v>89</v>
      </c>
      <c r="E31" s="77" t="s">
        <v>90</v>
      </c>
      <c r="F31" s="25">
        <v>0</v>
      </c>
      <c r="G31" s="25">
        <v>0</v>
      </c>
      <c r="H31" s="25">
        <v>0</v>
      </c>
    </row>
    <row r="32" spans="1:8" ht="15" customHeight="1">
      <c r="A32" s="63"/>
      <c r="B32" s="61" t="s">
        <v>91</v>
      </c>
      <c r="C32" s="64"/>
      <c r="D32" s="64"/>
      <c r="E32" s="77" t="s">
        <v>92</v>
      </c>
      <c r="F32" s="8"/>
      <c r="G32" s="8"/>
      <c r="H32" s="8"/>
    </row>
    <row r="33" spans="1:8" ht="15" customHeight="1">
      <c r="A33" s="65" t="s">
        <v>93</v>
      </c>
      <c r="B33" s="61" t="s">
        <v>94</v>
      </c>
      <c r="C33" s="54">
        <f>38212000.55/10000</f>
        <v>3821.200055</v>
      </c>
      <c r="D33" s="66" t="s">
        <v>95</v>
      </c>
      <c r="E33" s="77" t="s">
        <v>96</v>
      </c>
      <c r="F33" s="25">
        <f>33278551.45/10000</f>
        <v>3327.855145</v>
      </c>
      <c r="G33" s="25">
        <f>32775943.44/10000</f>
        <v>3277.594344</v>
      </c>
      <c r="H33" s="25">
        <f>502608.01/10000</f>
        <v>50.260801</v>
      </c>
    </row>
    <row r="34" spans="1:8" ht="15" customHeight="1">
      <c r="A34" s="63" t="s">
        <v>225</v>
      </c>
      <c r="B34" s="61" t="s">
        <v>98</v>
      </c>
      <c r="C34" s="54">
        <f>16967873.34/10000</f>
        <v>1696.7873339999999</v>
      </c>
      <c r="D34" s="64" t="s">
        <v>226</v>
      </c>
      <c r="E34" s="77" t="s">
        <v>100</v>
      </c>
      <c r="F34" s="25">
        <f>21901322.44/1000</f>
        <v>21901.32244</v>
      </c>
      <c r="G34" s="25">
        <f>21293133.26/10000</f>
        <v>2129.313326</v>
      </c>
      <c r="H34" s="25">
        <f>608189.18/10000</f>
        <v>60.818918000000004</v>
      </c>
    </row>
    <row r="35" spans="1:8" ht="15" customHeight="1">
      <c r="A35" s="63" t="s">
        <v>223</v>
      </c>
      <c r="B35" s="61" t="s">
        <v>102</v>
      </c>
      <c r="C35" s="54">
        <f>16657076.15/10000</f>
        <v>1665.707615</v>
      </c>
      <c r="D35" s="64"/>
      <c r="E35" s="77" t="s">
        <v>104</v>
      </c>
      <c r="F35" s="8"/>
      <c r="G35" s="8"/>
      <c r="H35" s="8"/>
    </row>
    <row r="36" spans="1:8" ht="15" customHeight="1">
      <c r="A36" s="67" t="s">
        <v>224</v>
      </c>
      <c r="B36" s="68" t="s">
        <v>105</v>
      </c>
      <c r="C36" s="55">
        <f>310797.19/10000</f>
        <v>31.079719</v>
      </c>
      <c r="D36" s="69"/>
      <c r="E36" s="78" t="s">
        <v>107</v>
      </c>
      <c r="F36" s="79"/>
      <c r="G36" s="79"/>
      <c r="H36" s="79"/>
    </row>
    <row r="37" spans="1:8" ht="15" customHeight="1">
      <c r="A37" s="70" t="s">
        <v>108</v>
      </c>
      <c r="B37" s="9" t="s">
        <v>109</v>
      </c>
      <c r="C37" s="25">
        <f>55179873.89/10000</f>
        <v>5517.987389</v>
      </c>
      <c r="D37" s="70" t="s">
        <v>108</v>
      </c>
      <c r="E37" s="9" t="s">
        <v>110</v>
      </c>
      <c r="F37" s="25">
        <f>55179873.89/10000</f>
        <v>5517.987389</v>
      </c>
      <c r="G37" s="25">
        <f>54069076.7/10000</f>
        <v>5406.9076700000005</v>
      </c>
      <c r="H37" s="25">
        <f>1110797.19/10000</f>
        <v>111.079719</v>
      </c>
    </row>
    <row r="38" spans="1:8" ht="15" customHeight="1">
      <c r="A38" s="71" t="s">
        <v>227</v>
      </c>
      <c r="B38" s="72" t="s">
        <v>227</v>
      </c>
      <c r="C38" s="72" t="s">
        <v>227</v>
      </c>
      <c r="D38" s="72" t="s">
        <v>227</v>
      </c>
      <c r="E38" s="72" t="s">
        <v>227</v>
      </c>
      <c r="F38" s="72" t="s">
        <v>227</v>
      </c>
      <c r="G38" s="72" t="s">
        <v>227</v>
      </c>
      <c r="H38" s="72" t="s">
        <v>227</v>
      </c>
    </row>
    <row r="39" spans="1:8" ht="15" customHeight="1">
      <c r="A39" s="73"/>
      <c r="B39" s="74"/>
      <c r="C39" s="74"/>
      <c r="D39" s="75"/>
      <c r="E39" s="74"/>
      <c r="F39" s="74"/>
      <c r="G39" s="74"/>
      <c r="H39" s="80"/>
    </row>
  </sheetData>
  <sheetProtection/>
  <mergeCells count="10">
    <mergeCell ref="A4:C4"/>
    <mergeCell ref="D4:H4"/>
    <mergeCell ref="F5:H5"/>
    <mergeCell ref="A38:H38"/>
    <mergeCell ref="A39:H39"/>
    <mergeCell ref="A5:A6"/>
    <mergeCell ref="B5:B6"/>
    <mergeCell ref="C5:C6"/>
    <mergeCell ref="D5:D6"/>
    <mergeCell ref="E5:E6"/>
  </mergeCells>
  <printOptions/>
  <pageMargins left="0.9048611111111111" right="0.75" top="0.9048611111111111" bottom="0.7083333333333334" header="0.5" footer="0.5"/>
  <pageSetup fitToHeight="1" fitToWidth="1" horizontalDpi="300" verticalDpi="300" orientation="landscape" scale="84"/>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48"/>
  <sheetViews>
    <sheetView workbookViewId="0" topLeftCell="A1">
      <selection activeCell="I5" sqref="I5"/>
    </sheetView>
  </sheetViews>
  <sheetFormatPr defaultColWidth="9.140625" defaultRowHeight="12.75"/>
  <cols>
    <col min="1" max="3" width="4.57421875" style="0" customWidth="1"/>
    <col min="4" max="4" width="35.28125" style="0" customWidth="1"/>
    <col min="5" max="7" width="17.140625" style="0" customWidth="1"/>
  </cols>
  <sheetData>
    <row r="1" spans="1:7" ht="27.75" customHeight="1">
      <c r="A1" s="40"/>
      <c r="B1" s="41"/>
      <c r="C1" s="41"/>
      <c r="D1" s="42" t="s">
        <v>228</v>
      </c>
      <c r="E1" s="41"/>
      <c r="F1" s="41"/>
      <c r="G1" s="41"/>
    </row>
    <row r="2" spans="1:7" ht="15" customHeight="1">
      <c r="A2" s="3"/>
      <c r="B2" s="4"/>
      <c r="C2" s="4"/>
      <c r="D2" s="4"/>
      <c r="E2" s="4"/>
      <c r="F2" s="4"/>
      <c r="G2" s="5" t="s">
        <v>1</v>
      </c>
    </row>
    <row r="3" spans="1:7" ht="15" customHeight="1">
      <c r="A3" s="43" t="s">
        <v>229</v>
      </c>
      <c r="B3" s="44"/>
      <c r="C3" s="44"/>
      <c r="D3" s="44"/>
      <c r="E3" s="52"/>
      <c r="F3" s="52"/>
      <c r="G3" s="53" t="s">
        <v>230</v>
      </c>
    </row>
    <row r="4" spans="1:7" ht="15" customHeight="1">
      <c r="A4" s="9" t="s">
        <v>7</v>
      </c>
      <c r="B4" s="16" t="s">
        <v>7</v>
      </c>
      <c r="C4" s="16" t="s">
        <v>7</v>
      </c>
      <c r="D4" s="16" t="s">
        <v>7</v>
      </c>
      <c r="E4" s="9" t="s">
        <v>95</v>
      </c>
      <c r="F4" s="9" t="s">
        <v>207</v>
      </c>
      <c r="G4" s="9" t="s">
        <v>208</v>
      </c>
    </row>
    <row r="5" spans="1:7" ht="15" customHeight="1">
      <c r="A5" s="17" t="s">
        <v>120</v>
      </c>
      <c r="B5" s="18" t="s">
        <v>120</v>
      </c>
      <c r="C5" s="18" t="s">
        <v>120</v>
      </c>
      <c r="D5" s="9" t="s">
        <v>121</v>
      </c>
      <c r="E5" s="16" t="s">
        <v>95</v>
      </c>
      <c r="F5" s="16" t="s">
        <v>207</v>
      </c>
      <c r="G5" s="16" t="s">
        <v>208</v>
      </c>
    </row>
    <row r="6" spans="1:7" ht="15" customHeight="1">
      <c r="A6" s="18" t="s">
        <v>120</v>
      </c>
      <c r="B6" s="18" t="s">
        <v>120</v>
      </c>
      <c r="C6" s="18" t="s">
        <v>120</v>
      </c>
      <c r="D6" s="16" t="s">
        <v>121</v>
      </c>
      <c r="E6" s="16" t="s">
        <v>95</v>
      </c>
      <c r="F6" s="16" t="s">
        <v>207</v>
      </c>
      <c r="G6" s="16" t="s">
        <v>208</v>
      </c>
    </row>
    <row r="7" spans="1:7" ht="15" customHeight="1">
      <c r="A7" s="18" t="s">
        <v>120</v>
      </c>
      <c r="B7" s="18" t="s">
        <v>120</v>
      </c>
      <c r="C7" s="18" t="s">
        <v>120</v>
      </c>
      <c r="D7" s="16" t="s">
        <v>121</v>
      </c>
      <c r="E7" s="16" t="s">
        <v>95</v>
      </c>
      <c r="F7" s="16" t="s">
        <v>207</v>
      </c>
      <c r="G7" s="16" t="s">
        <v>208</v>
      </c>
    </row>
    <row r="8" spans="1:7" ht="15" customHeight="1">
      <c r="A8" s="9" t="s">
        <v>124</v>
      </c>
      <c r="B8" s="9" t="s">
        <v>125</v>
      </c>
      <c r="C8" s="9" t="s">
        <v>126</v>
      </c>
      <c r="D8" s="9" t="s">
        <v>127</v>
      </c>
      <c r="E8" s="9" t="s">
        <v>15</v>
      </c>
      <c r="F8" s="9" t="s">
        <v>19</v>
      </c>
      <c r="G8" s="9" t="s">
        <v>12</v>
      </c>
    </row>
    <row r="9" spans="1:7" ht="15" customHeight="1">
      <c r="A9" s="16" t="s">
        <v>124</v>
      </c>
      <c r="B9" s="16" t="s">
        <v>125</v>
      </c>
      <c r="C9" s="16" t="s">
        <v>126</v>
      </c>
      <c r="D9" s="45" t="s">
        <v>128</v>
      </c>
      <c r="E9" s="25">
        <f>32775943.44/10000</f>
        <v>3277.594344</v>
      </c>
      <c r="F9" s="25">
        <f>21265587.13/10000</f>
        <v>2126.558713</v>
      </c>
      <c r="G9" s="25">
        <f>11510356.31/10000</f>
        <v>1151.035631</v>
      </c>
    </row>
    <row r="10" spans="1:7" ht="15" customHeight="1">
      <c r="A10" s="46" t="s">
        <v>129</v>
      </c>
      <c r="B10" s="47" t="s">
        <v>129</v>
      </c>
      <c r="C10" s="47" t="s">
        <v>129</v>
      </c>
      <c r="D10" s="48" t="s">
        <v>130</v>
      </c>
      <c r="E10" s="54">
        <f>31445122.4/10000</f>
        <v>3144.51224</v>
      </c>
      <c r="F10" s="54">
        <f>19997641.7/10000</f>
        <v>1999.76417</v>
      </c>
      <c r="G10" s="54">
        <f>11447480.7/10000</f>
        <v>1144.7480699999999</v>
      </c>
    </row>
    <row r="11" spans="1:7" ht="15" customHeight="1">
      <c r="A11" s="46" t="s">
        <v>131</v>
      </c>
      <c r="B11" s="47" t="s">
        <v>131</v>
      </c>
      <c r="C11" s="47" t="s">
        <v>131</v>
      </c>
      <c r="D11" s="48" t="s">
        <v>132</v>
      </c>
      <c r="E11" s="54">
        <f>5315640/10000</f>
        <v>531.564</v>
      </c>
      <c r="F11" s="54">
        <f>1178600/10000</f>
        <v>117.86</v>
      </c>
      <c r="G11" s="54">
        <f>4137040/10000</f>
        <v>413.704</v>
      </c>
    </row>
    <row r="12" spans="1:7" ht="15" customHeight="1">
      <c r="A12" s="46" t="s">
        <v>133</v>
      </c>
      <c r="B12" s="47" t="s">
        <v>133</v>
      </c>
      <c r="C12" s="47" t="s">
        <v>133</v>
      </c>
      <c r="D12" s="48" t="s">
        <v>134</v>
      </c>
      <c r="E12" s="54">
        <f>1178600/10000</f>
        <v>117.86</v>
      </c>
      <c r="F12" s="54">
        <f>1178600/10000</f>
        <v>117.86</v>
      </c>
      <c r="G12" s="54">
        <v>0</v>
      </c>
    </row>
    <row r="13" spans="1:7" ht="15" customHeight="1">
      <c r="A13" s="46" t="s">
        <v>212</v>
      </c>
      <c r="B13" s="47" t="s">
        <v>212</v>
      </c>
      <c r="C13" s="47" t="s">
        <v>212</v>
      </c>
      <c r="D13" s="48" t="s">
        <v>213</v>
      </c>
      <c r="E13" s="54">
        <f>4137040/10000</f>
        <v>413.704</v>
      </c>
      <c r="F13" s="54">
        <v>0</v>
      </c>
      <c r="G13" s="54">
        <f>4137040/10000</f>
        <v>413.704</v>
      </c>
    </row>
    <row r="14" spans="1:7" ht="15" customHeight="1">
      <c r="A14" s="46" t="s">
        <v>135</v>
      </c>
      <c r="B14" s="47" t="s">
        <v>135</v>
      </c>
      <c r="C14" s="47" t="s">
        <v>135</v>
      </c>
      <c r="D14" s="48" t="s">
        <v>136</v>
      </c>
      <c r="E14" s="54">
        <f>481774.05/10000</f>
        <v>48.177405</v>
      </c>
      <c r="F14" s="54">
        <f>481774.05/10000</f>
        <v>48.177405</v>
      </c>
      <c r="G14" s="54">
        <v>0</v>
      </c>
    </row>
    <row r="15" spans="1:7" ht="15" customHeight="1">
      <c r="A15" s="46" t="s">
        <v>137</v>
      </c>
      <c r="B15" s="47" t="s">
        <v>137</v>
      </c>
      <c r="C15" s="47" t="s">
        <v>137</v>
      </c>
      <c r="D15" s="48" t="s">
        <v>138</v>
      </c>
      <c r="E15" s="54">
        <f>500/10000</f>
        <v>0.05</v>
      </c>
      <c r="F15" s="54">
        <f>500/10000</f>
        <v>0.05</v>
      </c>
      <c r="G15" s="54">
        <v>0</v>
      </c>
    </row>
    <row r="16" spans="1:7" ht="15" customHeight="1">
      <c r="A16" s="46" t="s">
        <v>139</v>
      </c>
      <c r="B16" s="47" t="s">
        <v>139</v>
      </c>
      <c r="C16" s="47" t="s">
        <v>139</v>
      </c>
      <c r="D16" s="48" t="s">
        <v>140</v>
      </c>
      <c r="E16" s="54">
        <f>448185.97/10000</f>
        <v>44.818597</v>
      </c>
      <c r="F16" s="54">
        <f>448185.97/10000</f>
        <v>44.818597</v>
      </c>
      <c r="G16" s="54">
        <v>0</v>
      </c>
    </row>
    <row r="17" spans="1:7" ht="15" customHeight="1">
      <c r="A17" s="46" t="s">
        <v>214</v>
      </c>
      <c r="B17" s="47" t="s">
        <v>214</v>
      </c>
      <c r="C17" s="47" t="s">
        <v>214</v>
      </c>
      <c r="D17" s="48" t="s">
        <v>215</v>
      </c>
      <c r="E17" s="54">
        <f>33088.08/10000</f>
        <v>3.308808</v>
      </c>
      <c r="F17" s="54">
        <f>33088.08/10000</f>
        <v>3.308808</v>
      </c>
      <c r="G17" s="54">
        <v>0</v>
      </c>
    </row>
    <row r="18" spans="1:7" ht="15" customHeight="1">
      <c r="A18" s="46" t="s">
        <v>141</v>
      </c>
      <c r="B18" s="47" t="s">
        <v>141</v>
      </c>
      <c r="C18" s="47" t="s">
        <v>141</v>
      </c>
      <c r="D18" s="48" t="s">
        <v>142</v>
      </c>
      <c r="E18" s="54">
        <f>4851467.17/10000</f>
        <v>485.14671699999997</v>
      </c>
      <c r="F18" s="54">
        <f>4058800.7/10000</f>
        <v>405.88007000000005</v>
      </c>
      <c r="G18" s="54">
        <f>792666.47/10000</f>
        <v>79.26664699999999</v>
      </c>
    </row>
    <row r="19" spans="1:7" ht="15" customHeight="1">
      <c r="A19" s="46" t="s">
        <v>143</v>
      </c>
      <c r="B19" s="47" t="s">
        <v>143</v>
      </c>
      <c r="C19" s="47" t="s">
        <v>143</v>
      </c>
      <c r="D19" s="48" t="s">
        <v>144</v>
      </c>
      <c r="E19" s="54">
        <f>1879110/10000</f>
        <v>187.911</v>
      </c>
      <c r="F19" s="54">
        <f>1879110/10000</f>
        <v>187.911</v>
      </c>
      <c r="G19" s="54">
        <v>0</v>
      </c>
    </row>
    <row r="20" spans="1:7" ht="15" customHeight="1">
      <c r="A20" s="46" t="s">
        <v>145</v>
      </c>
      <c r="B20" s="47" t="s">
        <v>145</v>
      </c>
      <c r="C20" s="47" t="s">
        <v>145</v>
      </c>
      <c r="D20" s="48" t="s">
        <v>146</v>
      </c>
      <c r="E20" s="54">
        <f>2972357.17/10000</f>
        <v>297.23571699999997</v>
      </c>
      <c r="F20" s="54">
        <f>2179690.7/10000</f>
        <v>217.96907000000002</v>
      </c>
      <c r="G20" s="54">
        <f>792666.47/10000</f>
        <v>79.26664699999999</v>
      </c>
    </row>
    <row r="21" spans="1:7" ht="15" customHeight="1">
      <c r="A21" s="46" t="s">
        <v>147</v>
      </c>
      <c r="B21" s="47" t="s">
        <v>147</v>
      </c>
      <c r="C21" s="47" t="s">
        <v>147</v>
      </c>
      <c r="D21" s="48" t="s">
        <v>148</v>
      </c>
      <c r="E21" s="54">
        <v>0</v>
      </c>
      <c r="F21" s="54">
        <v>0</v>
      </c>
      <c r="G21" s="54">
        <v>0</v>
      </c>
    </row>
    <row r="22" spans="1:7" ht="15" customHeight="1">
      <c r="A22" s="46" t="s">
        <v>149</v>
      </c>
      <c r="B22" s="47" t="s">
        <v>149</v>
      </c>
      <c r="C22" s="47" t="s">
        <v>149</v>
      </c>
      <c r="D22" s="48" t="s">
        <v>150</v>
      </c>
      <c r="E22" s="54">
        <f>9625432.43/10000</f>
        <v>962.543243</v>
      </c>
      <c r="F22" s="54">
        <f>9625432.43/10000</f>
        <v>962.543243</v>
      </c>
      <c r="G22" s="54">
        <v>0</v>
      </c>
    </row>
    <row r="23" spans="1:7" ht="15" customHeight="1">
      <c r="A23" s="46" t="s">
        <v>216</v>
      </c>
      <c r="B23" s="47" t="s">
        <v>216</v>
      </c>
      <c r="C23" s="47" t="s">
        <v>216</v>
      </c>
      <c r="D23" s="48" t="s">
        <v>217</v>
      </c>
      <c r="E23" s="54">
        <f>910600/10000</f>
        <v>91.06</v>
      </c>
      <c r="F23" s="54">
        <f>910600/10000</f>
        <v>91.06</v>
      </c>
      <c r="G23" s="54">
        <v>0</v>
      </c>
    </row>
    <row r="24" spans="1:7" ht="15" customHeight="1">
      <c r="A24" s="46" t="s">
        <v>151</v>
      </c>
      <c r="B24" s="47" t="s">
        <v>151</v>
      </c>
      <c r="C24" s="47" t="s">
        <v>151</v>
      </c>
      <c r="D24" s="48" t="s">
        <v>152</v>
      </c>
      <c r="E24" s="54">
        <f>8586475.51/10000</f>
        <v>858.647551</v>
      </c>
      <c r="F24" s="54">
        <f>8586475.51/10000</f>
        <v>858.647551</v>
      </c>
      <c r="G24" s="54">
        <v>0</v>
      </c>
    </row>
    <row r="25" spans="1:7" ht="15" customHeight="1">
      <c r="A25" s="46" t="s">
        <v>153</v>
      </c>
      <c r="B25" s="47" t="s">
        <v>153</v>
      </c>
      <c r="C25" s="47" t="s">
        <v>153</v>
      </c>
      <c r="D25" s="48" t="s">
        <v>154</v>
      </c>
      <c r="E25" s="54">
        <v>0</v>
      </c>
      <c r="F25" s="54">
        <v>0</v>
      </c>
      <c r="G25" s="54">
        <v>0</v>
      </c>
    </row>
    <row r="26" spans="1:7" ht="15" customHeight="1">
      <c r="A26" s="46" t="s">
        <v>155</v>
      </c>
      <c r="B26" s="47" t="s">
        <v>155</v>
      </c>
      <c r="C26" s="47" t="s">
        <v>155</v>
      </c>
      <c r="D26" s="48" t="s">
        <v>156</v>
      </c>
      <c r="E26" s="54">
        <f>128356.92/10000</f>
        <v>12.835692</v>
      </c>
      <c r="F26" s="54">
        <f>128356.92/10000</f>
        <v>12.835692</v>
      </c>
      <c r="G26" s="54">
        <v>0</v>
      </c>
    </row>
    <row r="27" spans="1:7" ht="15" customHeight="1">
      <c r="A27" s="46" t="s">
        <v>157</v>
      </c>
      <c r="B27" s="47" t="s">
        <v>157</v>
      </c>
      <c r="C27" s="47" t="s">
        <v>157</v>
      </c>
      <c r="D27" s="48" t="s">
        <v>158</v>
      </c>
      <c r="E27" s="54">
        <f>50000/10000</f>
        <v>5</v>
      </c>
      <c r="F27" s="54">
        <f>50000/10000</f>
        <v>5</v>
      </c>
      <c r="G27" s="54">
        <v>0</v>
      </c>
    </row>
    <row r="28" spans="1:7" ht="15" customHeight="1">
      <c r="A28" s="46" t="s">
        <v>159</v>
      </c>
      <c r="B28" s="47" t="s">
        <v>159</v>
      </c>
      <c r="C28" s="47" t="s">
        <v>159</v>
      </c>
      <c r="D28" s="48" t="s">
        <v>160</v>
      </c>
      <c r="E28" s="54">
        <f>50000/10000</f>
        <v>5</v>
      </c>
      <c r="F28" s="54">
        <f>50000/10000</f>
        <v>5</v>
      </c>
      <c r="G28" s="54">
        <v>0</v>
      </c>
    </row>
    <row r="29" spans="1:7" ht="15" customHeight="1">
      <c r="A29" s="46" t="s">
        <v>161</v>
      </c>
      <c r="B29" s="47" t="s">
        <v>161</v>
      </c>
      <c r="C29" s="47" t="s">
        <v>161</v>
      </c>
      <c r="D29" s="48" t="s">
        <v>162</v>
      </c>
      <c r="E29" s="54">
        <f>10192048.08/10000</f>
        <v>1019.204808</v>
      </c>
      <c r="F29" s="54">
        <f>3974273.85/10000</f>
        <v>397.427385</v>
      </c>
      <c r="G29" s="54">
        <f>6217774.23/10000</f>
        <v>621.777423</v>
      </c>
    </row>
    <row r="30" spans="1:7" ht="15" customHeight="1">
      <c r="A30" s="46" t="s">
        <v>163</v>
      </c>
      <c r="B30" s="47" t="s">
        <v>163</v>
      </c>
      <c r="C30" s="47" t="s">
        <v>163</v>
      </c>
      <c r="D30" s="48" t="s">
        <v>134</v>
      </c>
      <c r="E30" s="54">
        <f>1975859.44/10000</f>
        <v>197.58594399999998</v>
      </c>
      <c r="F30" s="54">
        <f>1975859.44/10000</f>
        <v>197.58594399999998</v>
      </c>
      <c r="G30" s="54">
        <v>0</v>
      </c>
    </row>
    <row r="31" spans="1:7" ht="15" customHeight="1">
      <c r="A31" s="46" t="s">
        <v>164</v>
      </c>
      <c r="B31" s="47" t="s">
        <v>164</v>
      </c>
      <c r="C31" s="47" t="s">
        <v>164</v>
      </c>
      <c r="D31" s="48" t="s">
        <v>165</v>
      </c>
      <c r="E31" s="54">
        <f>1187612.24/10000</f>
        <v>118.761224</v>
      </c>
      <c r="F31" s="54">
        <f>90000/10000</f>
        <v>9</v>
      </c>
      <c r="G31" s="54">
        <f>1097612.24/10000</f>
        <v>109.761224</v>
      </c>
    </row>
    <row r="32" spans="1:7" ht="15" customHeight="1">
      <c r="A32" s="46" t="s">
        <v>166</v>
      </c>
      <c r="B32" s="47" t="s">
        <v>166</v>
      </c>
      <c r="C32" s="47" t="s">
        <v>166</v>
      </c>
      <c r="D32" s="48" t="s">
        <v>167</v>
      </c>
      <c r="E32" s="54">
        <f>4698661.99/10000</f>
        <v>469.866199</v>
      </c>
      <c r="F32" s="54">
        <v>0</v>
      </c>
      <c r="G32" s="54">
        <f>4698661.99/10000</f>
        <v>469.866199</v>
      </c>
    </row>
    <row r="33" spans="1:7" ht="15" customHeight="1">
      <c r="A33" s="46" t="s">
        <v>168</v>
      </c>
      <c r="B33" s="47" t="s">
        <v>168</v>
      </c>
      <c r="C33" s="47" t="s">
        <v>168</v>
      </c>
      <c r="D33" s="48" t="s">
        <v>169</v>
      </c>
      <c r="E33" s="54">
        <f>579276/10000</f>
        <v>57.9276</v>
      </c>
      <c r="F33" s="54">
        <f>157776/10000</f>
        <v>15.7776</v>
      </c>
      <c r="G33" s="54">
        <f>421500/10000</f>
        <v>42.15</v>
      </c>
    </row>
    <row r="34" spans="1:7" ht="15" customHeight="1">
      <c r="A34" s="46" t="s">
        <v>170</v>
      </c>
      <c r="B34" s="47" t="s">
        <v>170</v>
      </c>
      <c r="C34" s="47" t="s">
        <v>170</v>
      </c>
      <c r="D34" s="48" t="s">
        <v>171</v>
      </c>
      <c r="E34" s="54">
        <f>1659341.41/10000</f>
        <v>165.93414099999998</v>
      </c>
      <c r="F34" s="54">
        <f>1659341.41/10000</f>
        <v>165.93414099999998</v>
      </c>
      <c r="G34" s="54">
        <v>0</v>
      </c>
    </row>
    <row r="35" spans="1:7" ht="15" customHeight="1">
      <c r="A35" s="46" t="s">
        <v>172</v>
      </c>
      <c r="B35" s="47" t="s">
        <v>172</v>
      </c>
      <c r="C35" s="47" t="s">
        <v>172</v>
      </c>
      <c r="D35" s="48" t="s">
        <v>173</v>
      </c>
      <c r="E35" s="54">
        <f>91297/10000</f>
        <v>9.1297</v>
      </c>
      <c r="F35" s="54">
        <f>91297/10000</f>
        <v>9.1297</v>
      </c>
      <c r="G35" s="54">
        <v>0</v>
      </c>
    </row>
    <row r="36" spans="1:7" ht="15" customHeight="1">
      <c r="A36" s="46" t="s">
        <v>174</v>
      </c>
      <c r="B36" s="47" t="s">
        <v>174</v>
      </c>
      <c r="C36" s="47" t="s">
        <v>174</v>
      </c>
      <c r="D36" s="48" t="s">
        <v>175</v>
      </c>
      <c r="E36" s="54">
        <f>928760.67/10000</f>
        <v>92.876067</v>
      </c>
      <c r="F36" s="54">
        <f>628760.67/10000</f>
        <v>62.876067000000006</v>
      </c>
      <c r="G36" s="54">
        <f>300000/10000</f>
        <v>30</v>
      </c>
    </row>
    <row r="37" spans="1:7" ht="15" customHeight="1">
      <c r="A37" s="46" t="s">
        <v>176</v>
      </c>
      <c r="B37" s="47" t="s">
        <v>176</v>
      </c>
      <c r="C37" s="47" t="s">
        <v>176</v>
      </c>
      <c r="D37" s="48" t="s">
        <v>177</v>
      </c>
      <c r="E37" s="54">
        <f>928760.67/10000</f>
        <v>92.876067</v>
      </c>
      <c r="F37" s="54">
        <f>628760.67/10000</f>
        <v>62.876067000000006</v>
      </c>
      <c r="G37" s="54">
        <f>300000/10000</f>
        <v>30</v>
      </c>
    </row>
    <row r="38" spans="1:7" ht="15" customHeight="1">
      <c r="A38" s="46" t="s">
        <v>178</v>
      </c>
      <c r="B38" s="47" t="s">
        <v>178</v>
      </c>
      <c r="C38" s="47" t="s">
        <v>178</v>
      </c>
      <c r="D38" s="48" t="s">
        <v>179</v>
      </c>
      <c r="E38" s="54">
        <f>1052262.76/10000</f>
        <v>105.226276</v>
      </c>
      <c r="F38" s="54">
        <f>989387.15/10000</f>
        <v>98.938715</v>
      </c>
      <c r="G38" s="54">
        <f>62875.61/10000</f>
        <v>6.287561</v>
      </c>
    </row>
    <row r="39" spans="1:7" ht="15" customHeight="1">
      <c r="A39" s="46" t="s">
        <v>180</v>
      </c>
      <c r="B39" s="47" t="s">
        <v>180</v>
      </c>
      <c r="C39" s="47" t="s">
        <v>180</v>
      </c>
      <c r="D39" s="48" t="s">
        <v>181</v>
      </c>
      <c r="E39" s="54">
        <f>989387.15/10000</f>
        <v>98.938715</v>
      </c>
      <c r="F39" s="54">
        <f>989387.15/10000</f>
        <v>98.938715</v>
      </c>
      <c r="G39" s="54">
        <v>0</v>
      </c>
    </row>
    <row r="40" spans="1:7" ht="15" customHeight="1">
      <c r="A40" s="46" t="s">
        <v>182</v>
      </c>
      <c r="B40" s="47" t="s">
        <v>182</v>
      </c>
      <c r="C40" s="47" t="s">
        <v>182</v>
      </c>
      <c r="D40" s="48" t="s">
        <v>183</v>
      </c>
      <c r="E40" s="54">
        <f>173734/10000</f>
        <v>17.3734</v>
      </c>
      <c r="F40" s="54">
        <f>173734/10000</f>
        <v>17.3734</v>
      </c>
      <c r="G40" s="54">
        <v>0</v>
      </c>
    </row>
    <row r="41" spans="1:7" ht="15" customHeight="1">
      <c r="A41" s="46" t="s">
        <v>184</v>
      </c>
      <c r="B41" s="47" t="s">
        <v>184</v>
      </c>
      <c r="C41" s="47" t="s">
        <v>184</v>
      </c>
      <c r="D41" s="48" t="s">
        <v>185</v>
      </c>
      <c r="E41" s="54">
        <f>792753.15/10000</f>
        <v>79.275315</v>
      </c>
      <c r="F41" s="54">
        <f>792753.15/10000</f>
        <v>79.275315</v>
      </c>
      <c r="G41" s="54">
        <v>0</v>
      </c>
    </row>
    <row r="42" spans="1:7" ht="15" customHeight="1">
      <c r="A42" s="46" t="s">
        <v>186</v>
      </c>
      <c r="B42" s="47" t="s">
        <v>186</v>
      </c>
      <c r="C42" s="47" t="s">
        <v>186</v>
      </c>
      <c r="D42" s="48" t="s">
        <v>187</v>
      </c>
      <c r="E42" s="54">
        <f>22900/10000</f>
        <v>2.29</v>
      </c>
      <c r="F42" s="54">
        <f>22900/10000</f>
        <v>2.29</v>
      </c>
      <c r="G42" s="54">
        <v>0</v>
      </c>
    </row>
    <row r="43" spans="1:7" ht="15" customHeight="1">
      <c r="A43" s="46" t="s">
        <v>188</v>
      </c>
      <c r="B43" s="47" t="s">
        <v>188</v>
      </c>
      <c r="C43" s="47" t="s">
        <v>188</v>
      </c>
      <c r="D43" s="48" t="s">
        <v>189</v>
      </c>
      <c r="E43" s="54">
        <f>62875.61/10000</f>
        <v>6.287561</v>
      </c>
      <c r="F43" s="54">
        <v>0</v>
      </c>
      <c r="G43" s="54">
        <f>62875.61/10000</f>
        <v>6.287561</v>
      </c>
    </row>
    <row r="44" spans="1:7" ht="15" customHeight="1">
      <c r="A44" s="46" t="s">
        <v>190</v>
      </c>
      <c r="B44" s="47" t="s">
        <v>190</v>
      </c>
      <c r="C44" s="47" t="s">
        <v>190</v>
      </c>
      <c r="D44" s="48" t="s">
        <v>191</v>
      </c>
      <c r="E44" s="54">
        <f>62875.61/10000</f>
        <v>6.287561</v>
      </c>
      <c r="F44" s="54">
        <v>0</v>
      </c>
      <c r="G44" s="54">
        <f>62875.61/10000</f>
        <v>6.287561</v>
      </c>
    </row>
    <row r="45" spans="1:7" ht="15" customHeight="1">
      <c r="A45" s="46" t="s">
        <v>192</v>
      </c>
      <c r="B45" s="47" t="s">
        <v>192</v>
      </c>
      <c r="C45" s="47" t="s">
        <v>192</v>
      </c>
      <c r="D45" s="48" t="s">
        <v>193</v>
      </c>
      <c r="E45" s="54">
        <f>278558.28/10000</f>
        <v>27.855828000000002</v>
      </c>
      <c r="F45" s="54">
        <f>278558.28/10000</f>
        <v>27.855828000000002</v>
      </c>
      <c r="G45" s="54">
        <v>0</v>
      </c>
    </row>
    <row r="46" spans="1:7" ht="15" customHeight="1">
      <c r="A46" s="49" t="s">
        <v>194</v>
      </c>
      <c r="B46" s="50" t="s">
        <v>194</v>
      </c>
      <c r="C46" s="50" t="s">
        <v>194</v>
      </c>
      <c r="D46" s="51" t="s">
        <v>195</v>
      </c>
      <c r="E46" s="55">
        <f>278558.28/10000</f>
        <v>27.855828000000002</v>
      </c>
      <c r="F46" s="55">
        <f>278558.28/10000</f>
        <v>27.855828000000002</v>
      </c>
      <c r="G46" s="55">
        <v>0</v>
      </c>
    </row>
    <row r="47" spans="1:7" ht="15" customHeight="1">
      <c r="A47" s="19" t="s">
        <v>196</v>
      </c>
      <c r="B47" s="20" t="s">
        <v>196</v>
      </c>
      <c r="C47" s="20" t="s">
        <v>196</v>
      </c>
      <c r="D47" s="19" t="s">
        <v>197</v>
      </c>
      <c r="E47" s="25">
        <f>278558.28/10000</f>
        <v>27.855828000000002</v>
      </c>
      <c r="F47" s="25">
        <f>278558.28/10000</f>
        <v>27.855828000000002</v>
      </c>
      <c r="G47" s="25">
        <v>0</v>
      </c>
    </row>
    <row r="48" spans="1:7" ht="15" customHeight="1">
      <c r="A48" s="22" t="s">
        <v>231</v>
      </c>
      <c r="B48" s="23" t="s">
        <v>231</v>
      </c>
      <c r="C48" s="23" t="s">
        <v>231</v>
      </c>
      <c r="D48" s="23" t="s">
        <v>231</v>
      </c>
      <c r="E48" s="23" t="s">
        <v>231</v>
      </c>
      <c r="F48" s="23" t="s">
        <v>231</v>
      </c>
      <c r="G48" s="23" t="s">
        <v>231</v>
      </c>
    </row>
  </sheetData>
  <sheetProtection/>
  <mergeCells count="49">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G48"/>
    <mergeCell ref="A8:A9"/>
    <mergeCell ref="B8:B9"/>
    <mergeCell ref="C8:C9"/>
    <mergeCell ref="D5:D7"/>
    <mergeCell ref="E4:E7"/>
    <mergeCell ref="F4:F7"/>
    <mergeCell ref="G4:G7"/>
    <mergeCell ref="A5:C7"/>
  </mergeCells>
  <printOptions/>
  <pageMargins left="0.75" right="0.75" top="1" bottom="1" header="0.5" footer="0.5"/>
  <pageSetup fitToHeight="1" fitToWidth="1" horizontalDpi="300" verticalDpi="300" orientation="portrait" scale="90"/>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1">
      <selection activeCell="M5" sqref="M5"/>
    </sheetView>
  </sheetViews>
  <sheetFormatPr defaultColWidth="9.140625" defaultRowHeight="12.75"/>
  <cols>
    <col min="1" max="1" width="11.28125" style="0" customWidth="1"/>
    <col min="2" max="2" width="17.00390625" style="0" customWidth="1"/>
    <col min="3" max="3" width="17.140625" style="0" customWidth="1"/>
    <col min="4" max="4" width="11.28125" style="0" customWidth="1"/>
    <col min="5" max="5" width="17.00390625" style="0" customWidth="1"/>
    <col min="6" max="6" width="17.140625" style="0" customWidth="1"/>
    <col min="7" max="7" width="11.28125" style="0" customWidth="1"/>
    <col min="8" max="8" width="17.00390625" style="0" customWidth="1"/>
    <col min="9" max="9" width="17.140625" style="0" customWidth="1"/>
  </cols>
  <sheetData>
    <row r="1" spans="1:9" ht="27.75" customHeight="1">
      <c r="A1" s="11"/>
      <c r="B1" s="28"/>
      <c r="C1" s="28"/>
      <c r="D1" s="28"/>
      <c r="E1" s="37" t="s">
        <v>232</v>
      </c>
      <c r="F1" s="28"/>
      <c r="G1" s="28"/>
      <c r="H1" s="28"/>
      <c r="I1" s="28"/>
    </row>
    <row r="2" spans="1:9" ht="15" customHeight="1">
      <c r="A2" s="3"/>
      <c r="B2" s="4"/>
      <c r="C2" s="4"/>
      <c r="D2" s="4"/>
      <c r="E2" s="4"/>
      <c r="F2" s="4"/>
      <c r="G2" s="4"/>
      <c r="H2" s="4"/>
      <c r="I2" s="5" t="s">
        <v>1</v>
      </c>
    </row>
    <row r="3" spans="1:9" ht="15" customHeight="1">
      <c r="A3" s="29" t="s">
        <v>2</v>
      </c>
      <c r="B3" s="30"/>
      <c r="C3" s="30"/>
      <c r="D3" s="30"/>
      <c r="E3" s="38" t="s">
        <v>3</v>
      </c>
      <c r="F3" s="30"/>
      <c r="G3" s="30"/>
      <c r="H3" s="30"/>
      <c r="I3" s="39" t="s">
        <v>233</v>
      </c>
    </row>
    <row r="4" spans="1:9" ht="15" customHeight="1">
      <c r="A4" s="9" t="s">
        <v>234</v>
      </c>
      <c r="B4" s="18" t="s">
        <v>234</v>
      </c>
      <c r="C4" s="16" t="s">
        <v>234</v>
      </c>
      <c r="D4" s="9" t="s">
        <v>235</v>
      </c>
      <c r="E4" s="18" t="s">
        <v>235</v>
      </c>
      <c r="F4" s="16" t="s">
        <v>235</v>
      </c>
      <c r="G4" s="16" t="s">
        <v>235</v>
      </c>
      <c r="H4" s="18" t="s">
        <v>235</v>
      </c>
      <c r="I4" s="16" t="s">
        <v>235</v>
      </c>
    </row>
    <row r="5" spans="1:9" ht="32.25" customHeight="1">
      <c r="A5" s="17" t="s">
        <v>236</v>
      </c>
      <c r="B5" s="17" t="s">
        <v>121</v>
      </c>
      <c r="C5" s="9" t="s">
        <v>237</v>
      </c>
      <c r="D5" s="17" t="s">
        <v>236</v>
      </c>
      <c r="E5" s="17" t="s">
        <v>121</v>
      </c>
      <c r="F5" s="9" t="s">
        <v>237</v>
      </c>
      <c r="G5" s="17" t="s">
        <v>236</v>
      </c>
      <c r="H5" s="17" t="s">
        <v>121</v>
      </c>
      <c r="I5" s="9" t="s">
        <v>237</v>
      </c>
    </row>
    <row r="6" spans="1:9" ht="32.25" customHeight="1">
      <c r="A6" s="31" t="s">
        <v>238</v>
      </c>
      <c r="B6" s="32" t="s">
        <v>239</v>
      </c>
      <c r="C6" s="25">
        <f>5755215.98/10000</f>
        <v>575.521598</v>
      </c>
      <c r="D6" s="31" t="s">
        <v>240</v>
      </c>
      <c r="E6" s="32" t="s">
        <v>241</v>
      </c>
      <c r="F6" s="25">
        <f>2920534.87/10000</f>
        <v>292.053487</v>
      </c>
      <c r="G6" s="31" t="s">
        <v>242</v>
      </c>
      <c r="H6" s="32" t="s">
        <v>243</v>
      </c>
      <c r="I6" s="25">
        <v>0</v>
      </c>
    </row>
    <row r="7" spans="1:9" ht="32.25" customHeight="1">
      <c r="A7" s="8" t="s">
        <v>244</v>
      </c>
      <c r="B7" s="33" t="s">
        <v>245</v>
      </c>
      <c r="C7" s="25">
        <f>1267420/10000</f>
        <v>126.742</v>
      </c>
      <c r="D7" s="8" t="s">
        <v>246</v>
      </c>
      <c r="E7" s="33" t="s">
        <v>247</v>
      </c>
      <c r="F7" s="25">
        <f>328651.95/10000</f>
        <v>32.865195</v>
      </c>
      <c r="G7" s="8" t="s">
        <v>248</v>
      </c>
      <c r="H7" s="33" t="s">
        <v>249</v>
      </c>
      <c r="I7" s="25">
        <v>0</v>
      </c>
    </row>
    <row r="8" spans="1:9" ht="32.25" customHeight="1">
      <c r="A8" s="8" t="s">
        <v>250</v>
      </c>
      <c r="B8" s="33" t="s">
        <v>251</v>
      </c>
      <c r="C8" s="25">
        <f>447683.35/10000</f>
        <v>44.768335</v>
      </c>
      <c r="D8" s="8" t="s">
        <v>252</v>
      </c>
      <c r="E8" s="33" t="s">
        <v>253</v>
      </c>
      <c r="F8" s="25">
        <f>26330/10000</f>
        <v>2.633</v>
      </c>
      <c r="G8" s="8" t="s">
        <v>254</v>
      </c>
      <c r="H8" s="33" t="s">
        <v>255</v>
      </c>
      <c r="I8" s="25">
        <v>0</v>
      </c>
    </row>
    <row r="9" spans="1:9" ht="32.25" customHeight="1">
      <c r="A9" s="8" t="s">
        <v>256</v>
      </c>
      <c r="B9" s="33" t="s">
        <v>257</v>
      </c>
      <c r="C9" s="25">
        <f>651025.78/10000</f>
        <v>65.10257800000001</v>
      </c>
      <c r="D9" s="8" t="s">
        <v>258</v>
      </c>
      <c r="E9" s="33" t="s">
        <v>259</v>
      </c>
      <c r="F9" s="25">
        <f>19900/10000</f>
        <v>1.99</v>
      </c>
      <c r="G9" s="8" t="s">
        <v>260</v>
      </c>
      <c r="H9" s="33" t="s">
        <v>261</v>
      </c>
      <c r="I9" s="25">
        <v>0</v>
      </c>
    </row>
    <row r="10" spans="1:9" ht="32.25" customHeight="1">
      <c r="A10" s="8" t="s">
        <v>262</v>
      </c>
      <c r="B10" s="33" t="s">
        <v>263</v>
      </c>
      <c r="C10" s="25">
        <f>265386/10000</f>
        <v>26.5386</v>
      </c>
      <c r="D10" s="8" t="s">
        <v>264</v>
      </c>
      <c r="E10" s="33" t="s">
        <v>265</v>
      </c>
      <c r="F10" s="25">
        <f>2000/10000</f>
        <v>0.2</v>
      </c>
      <c r="G10" s="8" t="s">
        <v>266</v>
      </c>
      <c r="H10" s="33" t="s">
        <v>267</v>
      </c>
      <c r="I10" s="25">
        <v>0</v>
      </c>
    </row>
    <row r="11" spans="1:9" ht="32.25" customHeight="1">
      <c r="A11" s="8" t="s">
        <v>268</v>
      </c>
      <c r="B11" s="33" t="s">
        <v>269</v>
      </c>
      <c r="C11" s="25">
        <f>525135/10000</f>
        <v>52.5135</v>
      </c>
      <c r="D11" s="8" t="s">
        <v>270</v>
      </c>
      <c r="E11" s="33" t="s">
        <v>271</v>
      </c>
      <c r="F11" s="25">
        <f>19814.91/10000</f>
        <v>1.981491</v>
      </c>
      <c r="G11" s="31" t="s">
        <v>272</v>
      </c>
      <c r="H11" s="32" t="s">
        <v>273</v>
      </c>
      <c r="I11" s="25">
        <f>2026306.94/10000</f>
        <v>202.630694</v>
      </c>
    </row>
    <row r="12" spans="1:9" ht="32.25" customHeight="1">
      <c r="A12" s="8" t="s">
        <v>274</v>
      </c>
      <c r="B12" s="33" t="s">
        <v>275</v>
      </c>
      <c r="C12" s="25">
        <f>388910.97/10000</f>
        <v>38.891096999999995</v>
      </c>
      <c r="D12" s="8" t="s">
        <v>276</v>
      </c>
      <c r="E12" s="33" t="s">
        <v>277</v>
      </c>
      <c r="F12" s="25">
        <f>34532.49/10000</f>
        <v>3.453249</v>
      </c>
      <c r="G12" s="8" t="s">
        <v>278</v>
      </c>
      <c r="H12" s="33" t="s">
        <v>279</v>
      </c>
      <c r="I12" s="25">
        <v>0</v>
      </c>
    </row>
    <row r="13" spans="1:9" ht="32.25" customHeight="1">
      <c r="A13" s="8" t="s">
        <v>280</v>
      </c>
      <c r="B13" s="33" t="s">
        <v>281</v>
      </c>
      <c r="C13" s="25">
        <f>33088.08/10000</f>
        <v>3.308808</v>
      </c>
      <c r="D13" s="8" t="s">
        <v>282</v>
      </c>
      <c r="E13" s="33" t="s">
        <v>283</v>
      </c>
      <c r="F13" s="25">
        <f>43717.56/10000</f>
        <v>4.3717559999999995</v>
      </c>
      <c r="G13" s="8" t="s">
        <v>284</v>
      </c>
      <c r="H13" s="33" t="s">
        <v>285</v>
      </c>
      <c r="I13" s="25">
        <f>901973.67/10000</f>
        <v>90.197367</v>
      </c>
    </row>
    <row r="14" spans="1:9" ht="32.25" customHeight="1">
      <c r="A14" s="8" t="s">
        <v>286</v>
      </c>
      <c r="B14" s="33" t="s">
        <v>287</v>
      </c>
      <c r="C14" s="25">
        <f>978082.12/10000</f>
        <v>97.808212</v>
      </c>
      <c r="D14" s="8" t="s">
        <v>288</v>
      </c>
      <c r="E14" s="33" t="s">
        <v>289</v>
      </c>
      <c r="F14" s="25">
        <f>9840/10000</f>
        <v>0.984</v>
      </c>
      <c r="G14" s="8" t="s">
        <v>290</v>
      </c>
      <c r="H14" s="33" t="s">
        <v>291</v>
      </c>
      <c r="I14" s="25">
        <f>19940/10000</f>
        <v>1.994</v>
      </c>
    </row>
    <row r="15" spans="1:9" ht="32.25" customHeight="1">
      <c r="A15" s="8" t="s">
        <v>292</v>
      </c>
      <c r="B15" s="33" t="s">
        <v>293</v>
      </c>
      <c r="C15" s="25">
        <f>22900/10000</f>
        <v>2.29</v>
      </c>
      <c r="D15" s="8" t="s">
        <v>294</v>
      </c>
      <c r="E15" s="33" t="s">
        <v>295</v>
      </c>
      <c r="F15" s="25">
        <f>465027.24/10000</f>
        <v>46.502724</v>
      </c>
      <c r="G15" s="8" t="s">
        <v>296</v>
      </c>
      <c r="H15" s="33" t="s">
        <v>297</v>
      </c>
      <c r="I15" s="25">
        <v>0</v>
      </c>
    </row>
    <row r="16" spans="1:9" ht="32.25" customHeight="1">
      <c r="A16" s="8" t="s">
        <v>298</v>
      </c>
      <c r="B16" s="33" t="s">
        <v>299</v>
      </c>
      <c r="C16" s="25">
        <f>9526.13/10000</f>
        <v>0.9526129999999999</v>
      </c>
      <c r="D16" s="8" t="s">
        <v>300</v>
      </c>
      <c r="E16" s="33" t="s">
        <v>301</v>
      </c>
      <c r="F16" s="25">
        <f>183761.8/10000</f>
        <v>18.376179999999998</v>
      </c>
      <c r="G16" s="8" t="s">
        <v>302</v>
      </c>
      <c r="H16" s="33" t="s">
        <v>303</v>
      </c>
      <c r="I16" s="25">
        <v>0</v>
      </c>
    </row>
    <row r="17" spans="1:9" ht="32.25" customHeight="1">
      <c r="A17" s="8" t="s">
        <v>304</v>
      </c>
      <c r="B17" s="33" t="s">
        <v>197</v>
      </c>
      <c r="C17" s="25">
        <f>450892.64/10000</f>
        <v>45.089264</v>
      </c>
      <c r="D17" s="8" t="s">
        <v>305</v>
      </c>
      <c r="E17" s="33" t="s">
        <v>306</v>
      </c>
      <c r="F17" s="25">
        <v>0</v>
      </c>
      <c r="G17" s="8" t="s">
        <v>307</v>
      </c>
      <c r="H17" s="33" t="s">
        <v>308</v>
      </c>
      <c r="I17" s="25">
        <v>0</v>
      </c>
    </row>
    <row r="18" spans="1:9" ht="32.25" customHeight="1">
      <c r="A18" s="8" t="s">
        <v>309</v>
      </c>
      <c r="B18" s="33" t="s">
        <v>310</v>
      </c>
      <c r="C18" s="25">
        <v>0</v>
      </c>
      <c r="D18" s="8" t="s">
        <v>311</v>
      </c>
      <c r="E18" s="33" t="s">
        <v>312</v>
      </c>
      <c r="F18" s="25">
        <f>693766.64/10000</f>
        <v>69.376664</v>
      </c>
      <c r="G18" s="8" t="s">
        <v>313</v>
      </c>
      <c r="H18" s="33" t="s">
        <v>314</v>
      </c>
      <c r="I18" s="25">
        <v>0</v>
      </c>
    </row>
    <row r="19" spans="1:9" ht="32.25" customHeight="1">
      <c r="A19" s="8" t="s">
        <v>315</v>
      </c>
      <c r="B19" s="33" t="s">
        <v>316</v>
      </c>
      <c r="C19" s="25">
        <f>715165.91/10000</f>
        <v>71.516591</v>
      </c>
      <c r="D19" s="8" t="s">
        <v>317</v>
      </c>
      <c r="E19" s="33" t="s">
        <v>318</v>
      </c>
      <c r="F19" s="25">
        <f>71026.7/10000</f>
        <v>7.10267</v>
      </c>
      <c r="G19" s="8" t="s">
        <v>319</v>
      </c>
      <c r="H19" s="33" t="s">
        <v>320</v>
      </c>
      <c r="I19" s="25">
        <v>0</v>
      </c>
    </row>
    <row r="20" spans="1:9" ht="32.25" customHeight="1">
      <c r="A20" s="31" t="s">
        <v>321</v>
      </c>
      <c r="B20" s="32" t="s">
        <v>322</v>
      </c>
      <c r="C20" s="25">
        <f>10563529.34/10000</f>
        <v>1056.352934</v>
      </c>
      <c r="D20" s="8" t="s">
        <v>323</v>
      </c>
      <c r="E20" s="33" t="s">
        <v>324</v>
      </c>
      <c r="F20" s="25">
        <f>3100/10000</f>
        <v>0.31</v>
      </c>
      <c r="G20" s="8" t="s">
        <v>325</v>
      </c>
      <c r="H20" s="33" t="s">
        <v>326</v>
      </c>
      <c r="I20" s="25">
        <v>0</v>
      </c>
    </row>
    <row r="21" spans="1:9" ht="32.25" customHeight="1">
      <c r="A21" s="8" t="s">
        <v>327</v>
      </c>
      <c r="B21" s="33" t="s">
        <v>328</v>
      </c>
      <c r="C21" s="25">
        <f>2648651.9/10000</f>
        <v>264.86519</v>
      </c>
      <c r="D21" s="8" t="s">
        <v>329</v>
      </c>
      <c r="E21" s="33" t="s">
        <v>330</v>
      </c>
      <c r="F21" s="25">
        <f>4517/10000</f>
        <v>0.4517</v>
      </c>
      <c r="G21" s="8" t="s">
        <v>331</v>
      </c>
      <c r="H21" s="33" t="s">
        <v>332</v>
      </c>
      <c r="I21" s="25">
        <v>0</v>
      </c>
    </row>
    <row r="22" spans="1:9" ht="32.25" customHeight="1">
      <c r="A22" s="8" t="s">
        <v>333</v>
      </c>
      <c r="B22" s="33" t="s">
        <v>334</v>
      </c>
      <c r="C22" s="25">
        <f>5931728.84/10000</f>
        <v>593.172884</v>
      </c>
      <c r="D22" s="8" t="s">
        <v>335</v>
      </c>
      <c r="E22" s="33" t="s">
        <v>336</v>
      </c>
      <c r="F22" s="25">
        <f>5056/10000</f>
        <v>0.5056</v>
      </c>
      <c r="G22" s="8" t="s">
        <v>337</v>
      </c>
      <c r="H22" s="33" t="s">
        <v>338</v>
      </c>
      <c r="I22" s="25">
        <v>0</v>
      </c>
    </row>
    <row r="23" spans="1:9" ht="32.25" customHeight="1">
      <c r="A23" s="8" t="s">
        <v>339</v>
      </c>
      <c r="B23" s="33" t="s">
        <v>340</v>
      </c>
      <c r="C23" s="25">
        <v>0</v>
      </c>
      <c r="D23" s="8" t="s">
        <v>341</v>
      </c>
      <c r="E23" s="33" t="s">
        <v>342</v>
      </c>
      <c r="F23" s="25">
        <f>100400/10000</f>
        <v>10.04</v>
      </c>
      <c r="G23" s="8" t="s">
        <v>343</v>
      </c>
      <c r="H23" s="33" t="s">
        <v>344</v>
      </c>
      <c r="I23" s="25">
        <f>242784/10000</f>
        <v>24.2784</v>
      </c>
    </row>
    <row r="24" spans="1:9" ht="32.25" customHeight="1">
      <c r="A24" s="8" t="s">
        <v>345</v>
      </c>
      <c r="B24" s="33" t="s">
        <v>346</v>
      </c>
      <c r="C24" s="25">
        <f>1879110/10000</f>
        <v>187.911</v>
      </c>
      <c r="D24" s="8" t="s">
        <v>347</v>
      </c>
      <c r="E24" s="33" t="s">
        <v>348</v>
      </c>
      <c r="F24" s="25">
        <v>0</v>
      </c>
      <c r="G24" s="8" t="s">
        <v>349</v>
      </c>
      <c r="H24" s="33" t="s">
        <v>350</v>
      </c>
      <c r="I24" s="25">
        <f>630000/10000</f>
        <v>63</v>
      </c>
    </row>
    <row r="25" spans="1:9" ht="32.25" customHeight="1">
      <c r="A25" s="8" t="s">
        <v>351</v>
      </c>
      <c r="B25" s="33" t="s">
        <v>352</v>
      </c>
      <c r="C25" s="25">
        <f>28959.2/10000</f>
        <v>2.8959200000000003</v>
      </c>
      <c r="D25" s="8" t="s">
        <v>353</v>
      </c>
      <c r="E25" s="33" t="s">
        <v>354</v>
      </c>
      <c r="F25" s="25">
        <v>0</v>
      </c>
      <c r="G25" s="8" t="s">
        <v>355</v>
      </c>
      <c r="H25" s="33" t="s">
        <v>356</v>
      </c>
      <c r="I25" s="25">
        <v>0</v>
      </c>
    </row>
    <row r="26" spans="1:9" ht="32.25" customHeight="1">
      <c r="A26" s="8" t="s">
        <v>357</v>
      </c>
      <c r="B26" s="33" t="s">
        <v>358</v>
      </c>
      <c r="C26" s="25">
        <v>0</v>
      </c>
      <c r="D26" s="8" t="s">
        <v>359</v>
      </c>
      <c r="E26" s="33" t="s">
        <v>360</v>
      </c>
      <c r="F26" s="25">
        <f>59029.99/10000</f>
        <v>5.902998999999999</v>
      </c>
      <c r="G26" s="8" t="s">
        <v>361</v>
      </c>
      <c r="H26" s="33" t="s">
        <v>362</v>
      </c>
      <c r="I26" s="25">
        <v>0</v>
      </c>
    </row>
    <row r="27" spans="1:9" ht="32.25" customHeight="1">
      <c r="A27" s="8" t="s">
        <v>363</v>
      </c>
      <c r="B27" s="33" t="s">
        <v>364</v>
      </c>
      <c r="C27" s="25">
        <v>0</v>
      </c>
      <c r="D27" s="8" t="s">
        <v>365</v>
      </c>
      <c r="E27" s="33" t="s">
        <v>366</v>
      </c>
      <c r="F27" s="25">
        <f>120679.2/10000</f>
        <v>12.067919999999999</v>
      </c>
      <c r="G27" s="8" t="s">
        <v>367</v>
      </c>
      <c r="H27" s="33" t="s">
        <v>368</v>
      </c>
      <c r="I27" s="25">
        <f>231609.27/10000</f>
        <v>23.160926999999997</v>
      </c>
    </row>
    <row r="28" spans="1:9" ht="32.25" customHeight="1">
      <c r="A28" s="8" t="s">
        <v>369</v>
      </c>
      <c r="B28" s="33" t="s">
        <v>370</v>
      </c>
      <c r="C28" s="25">
        <v>0</v>
      </c>
      <c r="D28" s="8" t="s">
        <v>371</v>
      </c>
      <c r="E28" s="33" t="s">
        <v>372</v>
      </c>
      <c r="F28" s="25">
        <f>106188.18/10000</f>
        <v>10.618818</v>
      </c>
      <c r="G28" s="31" t="s">
        <v>373</v>
      </c>
      <c r="H28" s="32" t="s">
        <v>374</v>
      </c>
      <c r="I28" s="25">
        <v>0</v>
      </c>
    </row>
    <row r="29" spans="1:9" ht="32.25" customHeight="1">
      <c r="A29" s="8" t="s">
        <v>375</v>
      </c>
      <c r="B29" s="33" t="s">
        <v>376</v>
      </c>
      <c r="C29" s="25">
        <f>57800/10000</f>
        <v>5.78</v>
      </c>
      <c r="D29" s="8" t="s">
        <v>377</v>
      </c>
      <c r="E29" s="33" t="s">
        <v>378</v>
      </c>
      <c r="F29" s="25">
        <f>14240/10000</f>
        <v>1.424</v>
      </c>
      <c r="G29" s="8" t="s">
        <v>379</v>
      </c>
      <c r="H29" s="33" t="s">
        <v>380</v>
      </c>
      <c r="I29" s="25">
        <v>0</v>
      </c>
    </row>
    <row r="30" spans="1:9" ht="32.25" customHeight="1">
      <c r="A30" s="8" t="s">
        <v>381</v>
      </c>
      <c r="B30" s="33" t="s">
        <v>382</v>
      </c>
      <c r="C30" s="25">
        <v>0</v>
      </c>
      <c r="D30" s="8" t="s">
        <v>383</v>
      </c>
      <c r="E30" s="33" t="s">
        <v>384</v>
      </c>
      <c r="F30" s="25">
        <f>38637.25/10000</f>
        <v>3.863725</v>
      </c>
      <c r="G30" s="8" t="s">
        <v>385</v>
      </c>
      <c r="H30" s="33" t="s">
        <v>386</v>
      </c>
      <c r="I30" s="25">
        <v>0</v>
      </c>
    </row>
    <row r="31" spans="1:9" ht="32.25" customHeight="1">
      <c r="A31" s="8" t="s">
        <v>387</v>
      </c>
      <c r="B31" s="33" t="s">
        <v>388</v>
      </c>
      <c r="C31" s="25">
        <f>17279.4/10000</f>
        <v>1.7279400000000003</v>
      </c>
      <c r="D31" s="8" t="s">
        <v>389</v>
      </c>
      <c r="E31" s="33" t="s">
        <v>390</v>
      </c>
      <c r="F31" s="25">
        <f>231507.32/10000</f>
        <v>23.150732</v>
      </c>
      <c r="G31" s="8" t="s">
        <v>391</v>
      </c>
      <c r="H31" s="33" t="s">
        <v>392</v>
      </c>
      <c r="I31" s="25">
        <v>0</v>
      </c>
    </row>
    <row r="32" spans="1:9" ht="32.25" customHeight="1">
      <c r="A32" s="8"/>
      <c r="B32" s="33"/>
      <c r="C32" s="34"/>
      <c r="D32" s="8" t="s">
        <v>393</v>
      </c>
      <c r="E32" s="33" t="s">
        <v>394</v>
      </c>
      <c r="F32" s="25">
        <v>0</v>
      </c>
      <c r="G32" s="8" t="s">
        <v>395</v>
      </c>
      <c r="H32" s="33" t="s">
        <v>396</v>
      </c>
      <c r="I32" s="25">
        <v>0</v>
      </c>
    </row>
    <row r="33" spans="1:9" ht="32.25" customHeight="1">
      <c r="A33" s="8"/>
      <c r="B33" s="33"/>
      <c r="C33" s="34"/>
      <c r="D33" s="8" t="s">
        <v>397</v>
      </c>
      <c r="E33" s="33" t="s">
        <v>398</v>
      </c>
      <c r="F33" s="25">
        <f>338810.64/10000</f>
        <v>33.881064</v>
      </c>
      <c r="G33" s="8" t="s">
        <v>399</v>
      </c>
      <c r="H33" s="33" t="s">
        <v>400</v>
      </c>
      <c r="I33" s="25">
        <v>0</v>
      </c>
    </row>
    <row r="34" spans="1:9" ht="32.25" customHeight="1">
      <c r="A34" s="8"/>
      <c r="B34" s="33"/>
      <c r="C34" s="34"/>
      <c r="D34" s="8"/>
      <c r="E34" s="33"/>
      <c r="F34" s="34"/>
      <c r="G34" s="31" t="s">
        <v>401</v>
      </c>
      <c r="H34" s="32" t="s">
        <v>199</v>
      </c>
      <c r="I34" s="25">
        <v>0</v>
      </c>
    </row>
    <row r="35" spans="1:9" ht="32.25" customHeight="1">
      <c r="A35" s="8"/>
      <c r="B35" s="33"/>
      <c r="C35" s="34"/>
      <c r="D35" s="8"/>
      <c r="E35" s="33"/>
      <c r="F35" s="34"/>
      <c r="G35" s="8" t="s">
        <v>402</v>
      </c>
      <c r="H35" s="33" t="s">
        <v>403</v>
      </c>
      <c r="I35" s="25">
        <v>0</v>
      </c>
    </row>
    <row r="36" spans="1:9" ht="32.25" customHeight="1">
      <c r="A36" s="8"/>
      <c r="B36" s="33"/>
      <c r="C36" s="34"/>
      <c r="D36" s="8"/>
      <c r="E36" s="33"/>
      <c r="F36" s="34"/>
      <c r="G36" s="8" t="s">
        <v>404</v>
      </c>
      <c r="H36" s="33" t="s">
        <v>405</v>
      </c>
      <c r="I36" s="25">
        <v>0</v>
      </c>
    </row>
    <row r="37" spans="1:9" ht="32.25" customHeight="1">
      <c r="A37" s="8"/>
      <c r="B37" s="33"/>
      <c r="C37" s="34"/>
      <c r="D37" s="8"/>
      <c r="E37" s="33"/>
      <c r="F37" s="34"/>
      <c r="G37" s="8" t="s">
        <v>406</v>
      </c>
      <c r="H37" s="33" t="s">
        <v>407</v>
      </c>
      <c r="I37" s="25">
        <v>0</v>
      </c>
    </row>
    <row r="38" spans="1:9" ht="32.25" customHeight="1">
      <c r="A38" s="8"/>
      <c r="B38" s="33"/>
      <c r="C38" s="34"/>
      <c r="D38" s="8"/>
      <c r="E38" s="33"/>
      <c r="F38" s="34"/>
      <c r="G38" s="8" t="s">
        <v>408</v>
      </c>
      <c r="H38" s="33" t="s">
        <v>409</v>
      </c>
      <c r="I38" s="25">
        <v>0</v>
      </c>
    </row>
    <row r="39" spans="1:9" ht="32.25" customHeight="1">
      <c r="A39" s="9" t="s">
        <v>410</v>
      </c>
      <c r="B39" s="18" t="s">
        <v>410</v>
      </c>
      <c r="C39" s="25">
        <f>16318745.32/10000</f>
        <v>1631.874532</v>
      </c>
      <c r="D39" s="9" t="s">
        <v>411</v>
      </c>
      <c r="E39" s="18" t="s">
        <v>411</v>
      </c>
      <c r="F39" s="16" t="s">
        <v>411</v>
      </c>
      <c r="G39" s="16" t="s">
        <v>411</v>
      </c>
      <c r="H39" s="18" t="s">
        <v>411</v>
      </c>
      <c r="I39" s="25">
        <f>4946841.81/10000</f>
        <v>494.68418099999997</v>
      </c>
    </row>
    <row r="40" spans="1:9" ht="15" customHeight="1">
      <c r="A40" s="35" t="s">
        <v>412</v>
      </c>
      <c r="B40" s="36" t="s">
        <v>412</v>
      </c>
      <c r="C40" s="36" t="s">
        <v>412</v>
      </c>
      <c r="D40" s="36" t="s">
        <v>412</v>
      </c>
      <c r="E40" s="36" t="s">
        <v>412</v>
      </c>
      <c r="F40" s="36" t="s">
        <v>412</v>
      </c>
      <c r="G40" s="36" t="s">
        <v>412</v>
      </c>
      <c r="H40" s="36" t="s">
        <v>412</v>
      </c>
      <c r="I40" s="36" t="s">
        <v>412</v>
      </c>
    </row>
  </sheetData>
  <sheetProtection/>
  <mergeCells count="5">
    <mergeCell ref="A4:C4"/>
    <mergeCell ref="D4:I4"/>
    <mergeCell ref="A39:B39"/>
    <mergeCell ref="D39:H39"/>
    <mergeCell ref="A40:I40"/>
  </mergeCells>
  <printOptions/>
  <pageMargins left="1.0625" right="0.75" top="0.66875" bottom="0.7083333333333334" header="0.5" footer="0.5"/>
  <pageSetup fitToHeight="1" fitToWidth="1" horizontalDpi="300" verticalDpi="300" orientation="portrait" scale="58"/>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D25"/>
  <sheetViews>
    <sheetView workbookViewId="0" topLeftCell="A1">
      <selection activeCell="A3" sqref="A3"/>
    </sheetView>
  </sheetViews>
  <sheetFormatPr defaultColWidth="9.140625" defaultRowHeight="12.75"/>
  <cols>
    <col min="1" max="1" width="40.28125" style="0" customWidth="1"/>
    <col min="2" max="2" width="14.00390625" style="0" customWidth="1"/>
    <col min="3" max="3" width="23.140625" style="0" customWidth="1"/>
    <col min="4" max="4" width="34.28125" style="0" customWidth="1"/>
  </cols>
  <sheetData>
    <row r="1" spans="1:4" ht="27.75" customHeight="1">
      <c r="A1" s="1" t="s">
        <v>413</v>
      </c>
      <c r="B1" s="1"/>
      <c r="C1" s="1"/>
      <c r="D1" s="2"/>
    </row>
    <row r="2" spans="1:4" ht="15" customHeight="1">
      <c r="A2" s="3"/>
      <c r="B2" s="4"/>
      <c r="C2" s="4"/>
      <c r="D2" s="5" t="s">
        <v>1</v>
      </c>
    </row>
    <row r="3" spans="1:4" ht="15" customHeight="1">
      <c r="A3" s="6" t="s">
        <v>2</v>
      </c>
      <c r="B3" s="7" t="s">
        <v>3</v>
      </c>
      <c r="C3" s="4"/>
      <c r="D3" s="5" t="s">
        <v>414</v>
      </c>
    </row>
    <row r="4" spans="1:4" ht="15" customHeight="1">
      <c r="A4" s="9" t="s">
        <v>415</v>
      </c>
      <c r="B4" s="9" t="s">
        <v>127</v>
      </c>
      <c r="C4" s="9" t="s">
        <v>416</v>
      </c>
      <c r="D4" s="9" t="s">
        <v>9</v>
      </c>
    </row>
    <row r="5" spans="1:4" ht="15" customHeight="1">
      <c r="A5" s="9" t="s">
        <v>8</v>
      </c>
      <c r="B5" s="9"/>
      <c r="C5" s="9" t="s">
        <v>15</v>
      </c>
      <c r="D5" s="9" t="s">
        <v>19</v>
      </c>
    </row>
    <row r="6" spans="1:4" ht="15" customHeight="1">
      <c r="A6" s="8" t="s">
        <v>417</v>
      </c>
      <c r="B6" s="9" t="s">
        <v>15</v>
      </c>
      <c r="C6" s="25">
        <f>56000/10000</f>
        <v>5.6</v>
      </c>
      <c r="D6" s="25">
        <f>293878.25/10000</f>
        <v>29.387825</v>
      </c>
    </row>
    <row r="7" spans="1:4" ht="15" customHeight="1">
      <c r="A7" s="8" t="s">
        <v>418</v>
      </c>
      <c r="B7" s="9" t="s">
        <v>19</v>
      </c>
      <c r="C7" s="25">
        <v>0</v>
      </c>
      <c r="D7" s="25">
        <v>0</v>
      </c>
    </row>
    <row r="8" spans="1:4" ht="15" customHeight="1">
      <c r="A8" s="8" t="s">
        <v>419</v>
      </c>
      <c r="B8" s="9" t="s">
        <v>12</v>
      </c>
      <c r="C8" s="25">
        <v>0</v>
      </c>
      <c r="D8" s="25">
        <f>281421.25/10000</f>
        <v>28.142125</v>
      </c>
    </row>
    <row r="9" spans="1:4" ht="15" customHeight="1">
      <c r="A9" s="8" t="s">
        <v>420</v>
      </c>
      <c r="B9" s="9" t="s">
        <v>26</v>
      </c>
      <c r="C9" s="25">
        <v>0</v>
      </c>
      <c r="D9" s="25">
        <f>242784/10000</f>
        <v>24.2784</v>
      </c>
    </row>
    <row r="10" spans="1:4" ht="15" customHeight="1">
      <c r="A10" s="8" t="s">
        <v>421</v>
      </c>
      <c r="B10" s="9" t="s">
        <v>30</v>
      </c>
      <c r="C10" s="25">
        <v>0</v>
      </c>
      <c r="D10" s="25">
        <f>38637.25/10000</f>
        <v>3.863725</v>
      </c>
    </row>
    <row r="11" spans="1:4" ht="15" customHeight="1">
      <c r="A11" s="8" t="s">
        <v>422</v>
      </c>
      <c r="B11" s="9" t="s">
        <v>13</v>
      </c>
      <c r="C11" s="25">
        <f>56000/10000</f>
        <v>5.6</v>
      </c>
      <c r="D11" s="25">
        <f>12457/10000</f>
        <v>1.2457</v>
      </c>
    </row>
    <row r="12" spans="1:4" ht="15" customHeight="1">
      <c r="A12" s="8" t="s">
        <v>423</v>
      </c>
      <c r="B12" s="9" t="s">
        <v>37</v>
      </c>
      <c r="C12" s="25">
        <f>56000/10000</f>
        <v>5.6</v>
      </c>
      <c r="D12" s="25">
        <f>12457/10000</f>
        <v>1.2457</v>
      </c>
    </row>
    <row r="13" spans="1:4" ht="15" customHeight="1">
      <c r="A13" s="8" t="s">
        <v>424</v>
      </c>
      <c r="B13" s="9" t="s">
        <v>40</v>
      </c>
      <c r="C13" s="25">
        <v>0</v>
      </c>
      <c r="D13" s="25">
        <v>0</v>
      </c>
    </row>
    <row r="14" spans="1:4" ht="15" customHeight="1">
      <c r="A14" s="8" t="s">
        <v>425</v>
      </c>
      <c r="B14" s="9" t="s">
        <v>43</v>
      </c>
      <c r="C14" s="25">
        <v>0</v>
      </c>
      <c r="D14" s="25">
        <v>0</v>
      </c>
    </row>
    <row r="15" spans="1:4" ht="15" customHeight="1">
      <c r="A15" s="8" t="s">
        <v>426</v>
      </c>
      <c r="B15" s="9" t="s">
        <v>46</v>
      </c>
      <c r="C15" s="9" t="s">
        <v>427</v>
      </c>
      <c r="D15" s="9" t="s">
        <v>427</v>
      </c>
    </row>
    <row r="16" spans="1:4" ht="15" customHeight="1">
      <c r="A16" s="8" t="s">
        <v>428</v>
      </c>
      <c r="B16" s="9" t="s">
        <v>49</v>
      </c>
      <c r="C16" s="9" t="s">
        <v>427</v>
      </c>
      <c r="D16" s="10">
        <v>0</v>
      </c>
    </row>
    <row r="17" spans="1:4" ht="15" customHeight="1">
      <c r="A17" s="8" t="s">
        <v>429</v>
      </c>
      <c r="B17" s="9" t="s">
        <v>52</v>
      </c>
      <c r="C17" s="9" t="s">
        <v>427</v>
      </c>
      <c r="D17" s="10">
        <v>0</v>
      </c>
    </row>
    <row r="18" spans="1:4" ht="15" customHeight="1">
      <c r="A18" s="8" t="s">
        <v>430</v>
      </c>
      <c r="B18" s="9" t="s">
        <v>55</v>
      </c>
      <c r="C18" s="9" t="s">
        <v>427</v>
      </c>
      <c r="D18" s="10">
        <v>1</v>
      </c>
    </row>
    <row r="19" spans="1:4" ht="15" customHeight="1">
      <c r="A19" s="8" t="s">
        <v>431</v>
      </c>
      <c r="B19" s="9" t="s">
        <v>58</v>
      </c>
      <c r="C19" s="9" t="s">
        <v>427</v>
      </c>
      <c r="D19" s="10">
        <v>0</v>
      </c>
    </row>
    <row r="20" spans="1:4" ht="15" customHeight="1">
      <c r="A20" s="8" t="s">
        <v>432</v>
      </c>
      <c r="B20" s="9" t="s">
        <v>61</v>
      </c>
      <c r="C20" s="9" t="s">
        <v>427</v>
      </c>
      <c r="D20" s="10">
        <v>14</v>
      </c>
    </row>
    <row r="21" spans="1:4" ht="15" customHeight="1">
      <c r="A21" s="8" t="s">
        <v>433</v>
      </c>
      <c r="B21" s="9" t="s">
        <v>64</v>
      </c>
      <c r="C21" s="9" t="s">
        <v>427</v>
      </c>
      <c r="D21" s="10">
        <v>0</v>
      </c>
    </row>
    <row r="22" spans="1:4" ht="15" customHeight="1">
      <c r="A22" s="8" t="s">
        <v>434</v>
      </c>
      <c r="B22" s="9" t="s">
        <v>67</v>
      </c>
      <c r="C22" s="9" t="s">
        <v>427</v>
      </c>
      <c r="D22" s="10">
        <v>83</v>
      </c>
    </row>
    <row r="23" spans="1:4" ht="15" customHeight="1">
      <c r="A23" s="8" t="s">
        <v>435</v>
      </c>
      <c r="B23" s="9" t="s">
        <v>70</v>
      </c>
      <c r="C23" s="9" t="s">
        <v>427</v>
      </c>
      <c r="D23" s="10">
        <v>0</v>
      </c>
    </row>
    <row r="24" spans="1:4" ht="15" customHeight="1">
      <c r="A24" s="8" t="s">
        <v>436</v>
      </c>
      <c r="B24" s="9" t="s">
        <v>73</v>
      </c>
      <c r="C24" s="9" t="s">
        <v>427</v>
      </c>
      <c r="D24" s="10">
        <v>0</v>
      </c>
    </row>
    <row r="25" spans="1:4" ht="15" customHeight="1">
      <c r="A25" s="8" t="s">
        <v>437</v>
      </c>
      <c r="B25" s="9" t="s">
        <v>76</v>
      </c>
      <c r="C25" s="9" t="s">
        <v>427</v>
      </c>
      <c r="D25" s="10">
        <v>0</v>
      </c>
    </row>
  </sheetData>
  <sheetProtection/>
  <mergeCells count="1">
    <mergeCell ref="A1:D1"/>
  </mergeCells>
  <printOptions/>
  <pageMargins left="0.75" right="0.75" top="1" bottom="1" header="0.5" footer="0.5"/>
  <pageSetup fitToHeight="1" fitToWidth="1" horizontalDpi="300" verticalDpi="300" orientation="landscape"/>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5"/>
  <sheetViews>
    <sheetView workbookViewId="0" topLeftCell="A1">
      <selection activeCell="A5" sqref="A5"/>
    </sheetView>
  </sheetViews>
  <sheetFormatPr defaultColWidth="9.140625" defaultRowHeight="12.75"/>
  <cols>
    <col min="1" max="3" width="4.57421875" style="0" customWidth="1"/>
    <col min="4" max="4" width="30.421875" style="0" customWidth="1"/>
    <col min="5" max="10" width="17.140625" style="0" customWidth="1"/>
  </cols>
  <sheetData>
    <row r="1" spans="1:10" ht="27.75" customHeight="1">
      <c r="A1" s="11"/>
      <c r="B1" s="12" t="s">
        <v>438</v>
      </c>
      <c r="C1" s="12"/>
      <c r="D1" s="12"/>
      <c r="E1" s="12"/>
      <c r="F1" s="12"/>
      <c r="G1" s="12"/>
      <c r="H1" s="12"/>
      <c r="I1" s="12"/>
      <c r="J1" s="12"/>
    </row>
    <row r="2" spans="1:10" ht="15" customHeight="1">
      <c r="A2" s="6"/>
      <c r="B2" s="4"/>
      <c r="C2" s="4"/>
      <c r="D2" s="4"/>
      <c r="E2" s="4"/>
      <c r="F2" s="4"/>
      <c r="G2" s="4"/>
      <c r="H2" s="4"/>
      <c r="I2" s="4"/>
      <c r="J2" s="26"/>
    </row>
    <row r="3" spans="1:10" ht="15" customHeight="1">
      <c r="A3" s="6"/>
      <c r="B3" s="4"/>
      <c r="C3" s="4"/>
      <c r="D3" s="4"/>
      <c r="E3" s="4"/>
      <c r="F3" s="4"/>
      <c r="G3" s="4"/>
      <c r="H3" s="4"/>
      <c r="I3" s="4"/>
      <c r="J3" s="26"/>
    </row>
    <row r="4" spans="1:10" ht="15" customHeight="1">
      <c r="A4" s="3"/>
      <c r="B4" s="4"/>
      <c r="C4" s="4"/>
      <c r="D4" s="4"/>
      <c r="E4" s="4"/>
      <c r="F4" s="4"/>
      <c r="G4" s="4"/>
      <c r="H4" s="4"/>
      <c r="I4" s="4"/>
      <c r="J4" s="5" t="s">
        <v>1</v>
      </c>
    </row>
    <row r="5" spans="1:10" ht="15" customHeight="1">
      <c r="A5" s="13" t="s">
        <v>2</v>
      </c>
      <c r="B5" s="14"/>
      <c r="C5" s="15"/>
      <c r="D5" s="15"/>
      <c r="E5" s="24" t="s">
        <v>3</v>
      </c>
      <c r="F5" s="15"/>
      <c r="G5" s="15"/>
      <c r="H5" s="15"/>
      <c r="I5" s="15"/>
      <c r="J5" s="27" t="s">
        <v>439</v>
      </c>
    </row>
    <row r="6" spans="1:10" ht="15" customHeight="1">
      <c r="A6" s="9" t="s">
        <v>7</v>
      </c>
      <c r="B6" s="16" t="s">
        <v>7</v>
      </c>
      <c r="C6" s="16" t="s">
        <v>7</v>
      </c>
      <c r="D6" s="16" t="s">
        <v>7</v>
      </c>
      <c r="E6" s="9" t="s">
        <v>440</v>
      </c>
      <c r="F6" s="9" t="s">
        <v>441</v>
      </c>
      <c r="G6" s="9" t="s">
        <v>442</v>
      </c>
      <c r="H6" s="16" t="s">
        <v>442</v>
      </c>
      <c r="I6" s="16" t="s">
        <v>442</v>
      </c>
      <c r="J6" s="9" t="s">
        <v>443</v>
      </c>
    </row>
    <row r="7" spans="1:10" ht="15" customHeight="1">
      <c r="A7" s="17" t="s">
        <v>120</v>
      </c>
      <c r="B7" s="18" t="s">
        <v>120</v>
      </c>
      <c r="C7" s="18" t="s">
        <v>120</v>
      </c>
      <c r="D7" s="9" t="s">
        <v>121</v>
      </c>
      <c r="E7" s="16" t="s">
        <v>440</v>
      </c>
      <c r="F7" s="16" t="s">
        <v>441</v>
      </c>
      <c r="G7" s="9" t="s">
        <v>122</v>
      </c>
      <c r="H7" s="9" t="s">
        <v>207</v>
      </c>
      <c r="I7" s="9" t="s">
        <v>208</v>
      </c>
      <c r="J7" s="16" t="s">
        <v>443</v>
      </c>
    </row>
    <row r="8" spans="1:10" ht="15" customHeight="1">
      <c r="A8" s="18" t="s">
        <v>120</v>
      </c>
      <c r="B8" s="18" t="s">
        <v>120</v>
      </c>
      <c r="C8" s="18" t="s">
        <v>120</v>
      </c>
      <c r="D8" s="16" t="s">
        <v>121</v>
      </c>
      <c r="E8" s="16" t="s">
        <v>440</v>
      </c>
      <c r="F8" s="16" t="s">
        <v>441</v>
      </c>
      <c r="G8" s="16" t="s">
        <v>122</v>
      </c>
      <c r="H8" s="16" t="s">
        <v>207</v>
      </c>
      <c r="I8" s="16" t="s">
        <v>208</v>
      </c>
      <c r="J8" s="16" t="s">
        <v>443</v>
      </c>
    </row>
    <row r="9" spans="1:10" ht="15" customHeight="1">
      <c r="A9" s="18" t="s">
        <v>120</v>
      </c>
      <c r="B9" s="18" t="s">
        <v>120</v>
      </c>
      <c r="C9" s="18" t="s">
        <v>120</v>
      </c>
      <c r="D9" s="16" t="s">
        <v>121</v>
      </c>
      <c r="E9" s="16" t="s">
        <v>440</v>
      </c>
      <c r="F9" s="16" t="s">
        <v>441</v>
      </c>
      <c r="G9" s="16" t="s">
        <v>122</v>
      </c>
      <c r="H9" s="16" t="s">
        <v>207</v>
      </c>
      <c r="I9" s="16" t="s">
        <v>208</v>
      </c>
      <c r="J9" s="16" t="s">
        <v>443</v>
      </c>
    </row>
    <row r="10" spans="1:10" ht="15" customHeight="1">
      <c r="A10" s="9" t="s">
        <v>124</v>
      </c>
      <c r="B10" s="9" t="s">
        <v>125</v>
      </c>
      <c r="C10" s="9" t="s">
        <v>126</v>
      </c>
      <c r="D10" s="9" t="s">
        <v>127</v>
      </c>
      <c r="E10" s="9" t="s">
        <v>15</v>
      </c>
      <c r="F10" s="9" t="s">
        <v>19</v>
      </c>
      <c r="G10" s="9" t="s">
        <v>12</v>
      </c>
      <c r="H10" s="9" t="s">
        <v>26</v>
      </c>
      <c r="I10" s="9" t="s">
        <v>30</v>
      </c>
      <c r="J10" s="9" t="s">
        <v>13</v>
      </c>
    </row>
    <row r="11" spans="1:10" ht="15" customHeight="1">
      <c r="A11" s="16" t="s">
        <v>124</v>
      </c>
      <c r="B11" s="16" t="s">
        <v>125</v>
      </c>
      <c r="C11" s="16" t="s">
        <v>126</v>
      </c>
      <c r="D11" s="9" t="s">
        <v>128</v>
      </c>
      <c r="E11" s="25">
        <f>310797.19/10000</f>
        <v>31.079719</v>
      </c>
      <c r="F11" s="25">
        <f>800000/10000</f>
        <v>80</v>
      </c>
      <c r="G11" s="25">
        <f>502608.01/10000</f>
        <v>50.260801</v>
      </c>
      <c r="H11" s="25">
        <f>502608.01/10000</f>
        <v>50.260801</v>
      </c>
      <c r="I11" s="25">
        <v>0</v>
      </c>
      <c r="J11" s="25">
        <f>608189.18/10000</f>
        <v>60.818918000000004</v>
      </c>
    </row>
    <row r="12" spans="1:10" ht="15" customHeight="1">
      <c r="A12" s="19" t="s">
        <v>198</v>
      </c>
      <c r="B12" s="20" t="s">
        <v>198</v>
      </c>
      <c r="C12" s="20" t="s">
        <v>198</v>
      </c>
      <c r="D12" s="21" t="s">
        <v>199</v>
      </c>
      <c r="E12" s="25">
        <v>31.08</v>
      </c>
      <c r="F12" s="25">
        <v>80</v>
      </c>
      <c r="G12" s="25">
        <v>50.26</v>
      </c>
      <c r="H12" s="25">
        <v>50.26</v>
      </c>
      <c r="I12" s="25">
        <v>0</v>
      </c>
      <c r="J12" s="25">
        <v>60.82</v>
      </c>
    </row>
    <row r="13" spans="1:10" ht="15" customHeight="1">
      <c r="A13" s="19" t="s">
        <v>200</v>
      </c>
      <c r="B13" s="20" t="s">
        <v>200</v>
      </c>
      <c r="C13" s="20" t="s">
        <v>200</v>
      </c>
      <c r="D13" s="21" t="s">
        <v>201</v>
      </c>
      <c r="E13" s="25">
        <v>31.08</v>
      </c>
      <c r="F13" s="25">
        <v>80</v>
      </c>
      <c r="G13" s="25">
        <v>50.26</v>
      </c>
      <c r="H13" s="25">
        <v>50.26</v>
      </c>
      <c r="I13" s="25">
        <v>0</v>
      </c>
      <c r="J13" s="25">
        <v>60.82</v>
      </c>
    </row>
    <row r="14" spans="1:10" ht="15" customHeight="1">
      <c r="A14" s="19" t="s">
        <v>202</v>
      </c>
      <c r="B14" s="20" t="s">
        <v>202</v>
      </c>
      <c r="C14" s="20" t="s">
        <v>202</v>
      </c>
      <c r="D14" s="19" t="s">
        <v>203</v>
      </c>
      <c r="E14" s="25">
        <v>31.08</v>
      </c>
      <c r="F14" s="25">
        <v>80</v>
      </c>
      <c r="G14" s="25">
        <v>50.26</v>
      </c>
      <c r="H14" s="25">
        <v>50.26</v>
      </c>
      <c r="I14" s="25">
        <v>0</v>
      </c>
      <c r="J14" s="25">
        <v>60.82</v>
      </c>
    </row>
    <row r="15" spans="1:10" ht="15" customHeight="1">
      <c r="A15" s="22" t="s">
        <v>444</v>
      </c>
      <c r="B15" s="23" t="s">
        <v>444</v>
      </c>
      <c r="C15" s="23" t="s">
        <v>444</v>
      </c>
      <c r="D15" s="23" t="s">
        <v>444</v>
      </c>
      <c r="E15" s="23" t="s">
        <v>444</v>
      </c>
      <c r="F15" s="23" t="s">
        <v>444</v>
      </c>
      <c r="G15" s="23" t="s">
        <v>444</v>
      </c>
      <c r="H15" s="23" t="s">
        <v>444</v>
      </c>
      <c r="I15" s="23" t="s">
        <v>444</v>
      </c>
      <c r="J15" s="23" t="s">
        <v>444</v>
      </c>
    </row>
  </sheetData>
  <sheetProtection/>
  <mergeCells count="18">
    <mergeCell ref="B1:J1"/>
    <mergeCell ref="A6:D6"/>
    <mergeCell ref="G6:I6"/>
    <mergeCell ref="A12:C12"/>
    <mergeCell ref="A13:C13"/>
    <mergeCell ref="A14:C14"/>
    <mergeCell ref="A15:J15"/>
    <mergeCell ref="A10:A11"/>
    <mergeCell ref="B10:B11"/>
    <mergeCell ref="C10:C11"/>
    <mergeCell ref="D7:D9"/>
    <mergeCell ref="E6:E9"/>
    <mergeCell ref="F6:F9"/>
    <mergeCell ref="G7:G9"/>
    <mergeCell ref="H7:H9"/>
    <mergeCell ref="I7:I9"/>
    <mergeCell ref="J6:J9"/>
    <mergeCell ref="A7:C9"/>
  </mergeCells>
  <printOptions/>
  <pageMargins left="0.75" right="0.75" top="1" bottom="1" header="0.5" footer="0.5"/>
  <pageSetup fitToHeight="1" fitToWidth="1" horizontalDpi="300" verticalDpi="300" orientation="landscape" scale="84"/>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C15"/>
  <sheetViews>
    <sheetView tabSelected="1" workbookViewId="0" topLeftCell="A1">
      <selection activeCell="K27" sqref="K27"/>
    </sheetView>
  </sheetViews>
  <sheetFormatPr defaultColWidth="9.140625" defaultRowHeight="12.75"/>
  <cols>
    <col min="1" max="1" width="49.28125" style="0" customWidth="1"/>
    <col min="2" max="2" width="11.28125" style="0" customWidth="1"/>
    <col min="3" max="3" width="17.140625" style="0" customWidth="1"/>
  </cols>
  <sheetData>
    <row r="1" spans="1:3" ht="27.75" customHeight="1">
      <c r="A1" s="1" t="s">
        <v>445</v>
      </c>
      <c r="B1" s="1"/>
      <c r="C1" s="2"/>
    </row>
    <row r="2" spans="1:3" ht="15" customHeight="1">
      <c r="A2" s="3"/>
      <c r="B2" s="4"/>
      <c r="C2" s="5" t="s">
        <v>446</v>
      </c>
    </row>
    <row r="3" spans="1:3" ht="15" customHeight="1">
      <c r="A3" s="6" t="s">
        <v>2</v>
      </c>
      <c r="B3" s="7" t="s">
        <v>3</v>
      </c>
      <c r="C3" s="5" t="s">
        <v>447</v>
      </c>
    </row>
    <row r="4" spans="1:3" ht="15" customHeight="1">
      <c r="A4" s="8" t="s">
        <v>448</v>
      </c>
      <c r="B4" s="9" t="s">
        <v>127</v>
      </c>
      <c r="C4" s="9" t="s">
        <v>9</v>
      </c>
    </row>
    <row r="5" spans="1:3" ht="15" customHeight="1">
      <c r="A5" s="8" t="s">
        <v>449</v>
      </c>
      <c r="B5" s="9" t="s">
        <v>15</v>
      </c>
      <c r="C5" s="10">
        <v>8</v>
      </c>
    </row>
    <row r="6" spans="1:3" ht="15" customHeight="1">
      <c r="A6" s="8" t="s">
        <v>450</v>
      </c>
      <c r="B6" s="9" t="s">
        <v>19</v>
      </c>
      <c r="C6" s="10">
        <v>0</v>
      </c>
    </row>
    <row r="7" spans="1:3" ht="15" customHeight="1">
      <c r="A7" s="8" t="s">
        <v>451</v>
      </c>
      <c r="B7" s="9" t="s">
        <v>12</v>
      </c>
      <c r="C7" s="10">
        <v>0</v>
      </c>
    </row>
    <row r="8" spans="1:3" ht="15" customHeight="1">
      <c r="A8" s="8" t="s">
        <v>452</v>
      </c>
      <c r="B8" s="9" t="s">
        <v>26</v>
      </c>
      <c r="C8" s="10">
        <v>0</v>
      </c>
    </row>
    <row r="9" spans="1:3" ht="15" customHeight="1">
      <c r="A9" s="8" t="s">
        <v>453</v>
      </c>
      <c r="B9" s="9" t="s">
        <v>30</v>
      </c>
      <c r="C9" s="10">
        <v>0</v>
      </c>
    </row>
    <row r="10" spans="1:3" ht="15" customHeight="1">
      <c r="A10" s="8" t="s">
        <v>454</v>
      </c>
      <c r="B10" s="9" t="s">
        <v>13</v>
      </c>
      <c r="C10" s="10">
        <v>0</v>
      </c>
    </row>
    <row r="11" spans="1:3" ht="15" customHeight="1">
      <c r="A11" s="8" t="s">
        <v>455</v>
      </c>
      <c r="B11" s="9" t="s">
        <v>37</v>
      </c>
      <c r="C11" s="10">
        <v>0</v>
      </c>
    </row>
    <row r="12" spans="1:3" ht="15" customHeight="1">
      <c r="A12" s="8" t="s">
        <v>456</v>
      </c>
      <c r="B12" s="9" t="s">
        <v>40</v>
      </c>
      <c r="C12" s="10">
        <v>0</v>
      </c>
    </row>
    <row r="13" spans="1:3" ht="15" customHeight="1">
      <c r="A13" s="8" t="s">
        <v>457</v>
      </c>
      <c r="B13" s="9" t="s">
        <v>43</v>
      </c>
      <c r="C13" s="10">
        <v>8</v>
      </c>
    </row>
    <row r="14" spans="1:3" ht="15" customHeight="1">
      <c r="A14" s="8" t="s">
        <v>458</v>
      </c>
      <c r="B14" s="9" t="s">
        <v>46</v>
      </c>
      <c r="C14" s="10">
        <v>0</v>
      </c>
    </row>
    <row r="15" spans="1:3" ht="15" customHeight="1">
      <c r="A15" s="8" t="s">
        <v>459</v>
      </c>
      <c r="B15" s="9" t="s">
        <v>49</v>
      </c>
      <c r="C15" s="10">
        <v>0</v>
      </c>
    </row>
  </sheetData>
  <sheetProtection/>
  <mergeCells count="1">
    <mergeCell ref="A1:C1"/>
  </mergeCells>
  <printOptions/>
  <pageMargins left="2.0861111111111112" right="0.75" top="1.023611111111111" bottom="1" header="0.5" footer="0.5"/>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2020-09-18T15:50:17Z</dcterms:created>
  <dcterms:modified xsi:type="dcterms:W3CDTF">2022-06-01T15:25:19Z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퀀_generated_2.-2147483648">
    <vt:i4>2052</vt:i4>
  </property>
</Properties>
</file>